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C yr 1" sheetId="1" r:id="rId3"/>
    <sheet state="visible" name="CC yr 2" sheetId="2" r:id="rId4"/>
    <sheet state="visible" name="CC yr 3" sheetId="3" r:id="rId5"/>
    <sheet state="visible" name="CC year 4" sheetId="4" r:id="rId6"/>
    <sheet state="visible" name="CC year 5" sheetId="5" r:id="rId7"/>
    <sheet state="visible" name="Profit &amp; Loss " sheetId="6" r:id="rId8"/>
    <sheet state="visible" name="ROI" sheetId="7" r:id="rId9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5">
      <text>
        <t xml:space="preserve">Assume 3 months deposit</t>
      </text>
    </comment>
  </commentList>
</comments>
</file>

<file path=xl/sharedStrings.xml><?xml version="1.0" encoding="utf-8"?>
<sst xmlns="http://schemas.openxmlformats.org/spreadsheetml/2006/main" count="296" uniqueCount="121">
  <si>
    <t>VReality Pte Ltd</t>
  </si>
  <si>
    <t>Cash Flow Statement: YEAR 3</t>
  </si>
  <si>
    <t>For the year ended 2020</t>
  </si>
  <si>
    <t>Month 1</t>
  </si>
  <si>
    <t>Cash Flow Statement: YEAR 2</t>
  </si>
  <si>
    <t>For the year ended 2019</t>
  </si>
  <si>
    <t>Cash Flow Statement: YEAR 1</t>
  </si>
  <si>
    <t>Month 2</t>
  </si>
  <si>
    <t>For the year ended 2018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</si>
  <si>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</si>
  <si>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</si>
  <si>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</si>
  <si>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</si>
  <si>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</si>
  <si>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</si>
  <si>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</si>
  <si>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</si>
  <si>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</si>
  <si>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</si>
  <si>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CASH INJECTION</t>
  </si>
  <si>
    <t>Cash</t>
  </si>
  <si>
    <t xml:space="preserve">VR Concert Sales (30% commission) </t>
  </si>
  <si>
    <t>Advertising (min $5)</t>
  </si>
  <si>
    <t>Advertising (min $2)</t>
  </si>
  <si>
    <t xml:space="preserve">VR Rental </t>
  </si>
  <si>
    <t>VR Rental</t>
  </si>
  <si>
    <t>Capital Injection</t>
  </si>
  <si>
    <t>Shareholders Injection</t>
  </si>
  <si>
    <t xml:space="preserve">Grants </t>
  </si>
  <si>
    <t>Crowd-funding</t>
  </si>
  <si>
    <t>Advertising (min $8)</t>
  </si>
  <si>
    <t xml:space="preserve">Crowd-funding </t>
  </si>
  <si>
    <t>Investors injection</t>
  </si>
  <si>
    <t>2 Years Debt Funding</t>
  </si>
  <si>
    <t>Total</t>
  </si>
  <si>
    <t>CASH DISBURSEMENT</t>
  </si>
  <si>
    <t xml:space="preserve">IT Infrastructure </t>
  </si>
  <si>
    <t>Equipments</t>
  </si>
  <si>
    <t>Office Rental</t>
  </si>
  <si>
    <t>Grants</t>
  </si>
  <si>
    <t xml:space="preserve">Registration Fees </t>
  </si>
  <si>
    <t xml:space="preserve">Furniture &amp; Fixture </t>
  </si>
  <si>
    <t xml:space="preserve">Patents </t>
  </si>
  <si>
    <t>Copyright</t>
  </si>
  <si>
    <t>Trademarks</t>
  </si>
  <si>
    <t>Office Rental Deposit</t>
  </si>
  <si>
    <t>Registration Fees</t>
  </si>
  <si>
    <t xml:space="preserve">Marketing Activities </t>
  </si>
  <si>
    <t>R&amp;D of headset</t>
  </si>
  <si>
    <t xml:space="preserve">R&amp;D of headset </t>
  </si>
  <si>
    <t xml:space="preserve">Manufacturing of headset </t>
  </si>
  <si>
    <t>Salary</t>
  </si>
  <si>
    <t>CPF Contribution</t>
  </si>
  <si>
    <t>Company Insurance (NTUC Business Insurance Package)</t>
  </si>
  <si>
    <t>Total Cash Inflow</t>
  </si>
  <si>
    <t>Total Cash Outflow</t>
  </si>
  <si>
    <t>Repair Cost of Equipment</t>
  </si>
  <si>
    <t>Annual Wage Supplement</t>
  </si>
  <si>
    <t>Opening Cash Balance</t>
  </si>
  <si>
    <t>Employees Compensable Benefits (Insurance, Healthcare, etc)</t>
  </si>
  <si>
    <t>Bonus</t>
  </si>
  <si>
    <t>Dividends</t>
  </si>
  <si>
    <t>Closing Cash Balance</t>
  </si>
  <si>
    <t>ASSUMPTION</t>
  </si>
  <si>
    <t>Credit Card Fee</t>
  </si>
  <si>
    <t>Number of users</t>
  </si>
  <si>
    <t>Number of employees</t>
  </si>
  <si>
    <t>Ave actual ticket price</t>
  </si>
  <si>
    <t xml:space="preserve">License Fee for Filming @ Private Ground (5% commission) </t>
  </si>
  <si>
    <t>VR Rental (per day)</t>
  </si>
  <si>
    <t>ASSUMPTIONS</t>
  </si>
  <si>
    <t>Cash Flow Statement: YEAR 4</t>
  </si>
  <si>
    <t>For the year ended 2021</t>
  </si>
  <si>
    <t xml:space="preserve">Number of concerts </t>
  </si>
  <si>
    <t>Advertising (min $10)</t>
  </si>
  <si>
    <t>Company Name</t>
  </si>
  <si>
    <t>Profit &amp; Loss Statement</t>
  </si>
  <si>
    <t>For year ended 2018-2022</t>
  </si>
  <si>
    <t>Year 1</t>
  </si>
  <si>
    <t>Year 2</t>
  </si>
  <si>
    <t>Year 3</t>
  </si>
  <si>
    <t>Year 4</t>
  </si>
  <si>
    <t>Year 5</t>
  </si>
  <si>
    <t>Sales</t>
  </si>
  <si>
    <t>Rental Deposit</t>
  </si>
  <si>
    <t>Repair Cost of Equipments</t>
  </si>
  <si>
    <t>Less Expenses:</t>
  </si>
  <si>
    <t xml:space="preserve">Repair Cost of Equipments </t>
  </si>
  <si>
    <t>Depreciation Expense - Equipments</t>
  </si>
  <si>
    <t xml:space="preserve">2 Years Debt Financing </t>
  </si>
  <si>
    <t>Depreciation Expense - Furniture &amp; Fixture</t>
  </si>
  <si>
    <t>Start-up Expense (One time expense)</t>
  </si>
  <si>
    <t>Rental Expense</t>
  </si>
  <si>
    <t>Marketing Expense</t>
  </si>
  <si>
    <t>Salary Expense (Including CPF, AWS, Employees Benefits, Bonuses)</t>
  </si>
  <si>
    <t xml:space="preserve">Inventory Loss of Demaged Equipments </t>
  </si>
  <si>
    <t xml:space="preserve">Interest of debt financing </t>
  </si>
  <si>
    <t>Maintenance Cost of Equipments</t>
  </si>
  <si>
    <t>Company Insurance</t>
  </si>
  <si>
    <t>Credit Card Fee (3% of the transaction)</t>
  </si>
  <si>
    <t>License Fee for Filming at Private Ground</t>
  </si>
  <si>
    <t>Total Expenses</t>
  </si>
  <si>
    <t>Profit before tax</t>
  </si>
  <si>
    <t>Less: Taxation (refer to corporate tax rates)</t>
  </si>
  <si>
    <t>Delivery of headset</t>
  </si>
  <si>
    <t>Profit After tax</t>
  </si>
  <si>
    <t xml:space="preserve">Number of concert </t>
  </si>
  <si>
    <t>Number of concerts</t>
  </si>
  <si>
    <t>Net Profit Margin %</t>
  </si>
  <si>
    <t>Corporate Tax</t>
  </si>
  <si>
    <t>Exemption</t>
  </si>
  <si>
    <t>Remarks</t>
  </si>
  <si>
    <t>First $100k</t>
  </si>
  <si>
    <t>No tax payable</t>
  </si>
  <si>
    <t>Next $200k</t>
  </si>
  <si>
    <t>Return on Investment</t>
  </si>
  <si>
    <t>17% tax on half of profit made                   between $100K and $300K</t>
  </si>
  <si>
    <t>&gt;$300K</t>
  </si>
  <si>
    <t>17% tax on all profit made above             $300K</t>
  </si>
  <si>
    <t xml:space="preserve">Year 1 </t>
  </si>
  <si>
    <t>ROI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</si>
</sst>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$&quot;* #,##0.00_);_(&quot;$&quot;* \(#,##0.00\);_(&quot;$&quot;* &quot;-&quot;??_);_(@_)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_);_(@_)"/>
    <numFmt numFmtId="168" formatCode="&quot;$&quot;#,##0"/>
  </numFmts>
  <fonts count="10">
    <font>
      <sz val="10.0"/>
      <color rgb="FF000000"/>
      <name val="Arial"/>
    </font>
    <font>
      <sz val="10.0"/>
      <name val="Arial"/>
    </font>
    <font>
      <sz val="10.0"/>
    </font>
    <font>
      <sz val="9.0"/>
      <color rgb="FF000000"/>
      <name val="Calibri"/>
    </font>
    <font>
      <sz val="9.0"/>
      <color rgb="FF000000"/>
      <name val="Arial"/>
    </font>
    <font>
      <name val="Arial"/>
    </font>
    <font>
      <b/>
      <sz val="9.0"/>
      <name val="Calibri"/>
    </font>
    <font/>
    <font>
      <sz val="9.0"/>
      <name val="Calibri"/>
    </font>
    <font>
      <b/>
    </font>
  </fonts>
  <fills count="6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0" fontId="0" numFmtId="0" xfId="0" applyAlignment="1" applyBorder="1" applyFont="1">
      <alignment readingOrder="0" vertical="bottom"/>
    </xf>
    <xf borderId="2" fillId="0" fontId="1" numFmtId="0" xfId="0" applyAlignment="1" applyBorder="1" applyFont="1">
      <alignment horizontal="center" readingOrder="0" vertical="bottom"/>
    </xf>
    <xf borderId="0" fillId="0" fontId="2" numFmtId="0" xfId="0" applyFont="1"/>
    <xf borderId="3" fillId="0" fontId="0" numFmtId="0" xfId="0" applyAlignment="1" applyBorder="1" applyFont="1">
      <alignment readingOrder="0" vertical="bottom"/>
    </xf>
    <xf borderId="4" fillId="0" fontId="1" numFmtId="0" xfId="0" applyAlignment="1" applyBorder="1" applyFont="1">
      <alignment horizontal="center" vertical="bottom"/>
    </xf>
    <xf borderId="2" fillId="0" fontId="1" numFmtId="0" xfId="0" applyAlignment="1" applyBorder="1" applyFont="1">
      <alignment horizontal="center" vertical="bottom"/>
    </xf>
    <xf borderId="1" fillId="0" fontId="0" numFmtId="0" xfId="0" applyAlignment="1" applyBorder="1" applyFont="1">
      <alignment vertical="bottom"/>
    </xf>
    <xf borderId="3" fillId="0" fontId="0" numFmtId="0" xfId="0" applyAlignment="1" applyBorder="1" applyFont="1">
      <alignment vertical="bottom"/>
    </xf>
    <xf borderId="2" fillId="0" fontId="0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3" fillId="2" fontId="0" numFmtId="0" xfId="0" applyAlignment="1" applyBorder="1" applyFill="1" applyFont="1">
      <alignment vertical="bottom"/>
    </xf>
    <xf borderId="4" fillId="2" fontId="1" numFmtId="0" xfId="0" applyAlignment="1" applyBorder="1" applyFont="1">
      <alignment horizontal="center" vertical="bottom"/>
    </xf>
    <xf borderId="4" fillId="0" fontId="0" numFmtId="164" xfId="0" applyAlignment="1" applyBorder="1" applyFont="1" applyNumberFormat="1">
      <alignment vertical="bottom"/>
    </xf>
    <xf borderId="3" fillId="3" fontId="0" numFmtId="0" xfId="0" applyAlignment="1" applyBorder="1" applyFill="1" applyFont="1">
      <alignment readingOrder="0" vertical="bottom"/>
    </xf>
    <xf borderId="3" fillId="3" fontId="1" numFmtId="0" xfId="0" applyAlignment="1" applyBorder="1" applyFont="1">
      <alignment readingOrder="0" vertical="bottom"/>
    </xf>
    <xf borderId="3" fillId="3" fontId="0" numFmtId="0" xfId="0" applyAlignment="1" applyBorder="1" applyFont="1">
      <alignment vertical="bottom"/>
    </xf>
    <xf borderId="4" fillId="0" fontId="0" numFmtId="164" xfId="0" applyAlignment="1" applyBorder="1" applyFont="1" applyNumberFormat="1">
      <alignment readingOrder="0" vertical="bottom"/>
    </xf>
    <xf borderId="3" fillId="0" fontId="1" numFmtId="0" xfId="0" applyAlignment="1" applyBorder="1" applyFont="1">
      <alignment readingOrder="0" vertical="bottom"/>
    </xf>
    <xf borderId="4" fillId="0" fontId="1" numFmtId="165" xfId="0" applyAlignment="1" applyBorder="1" applyFont="1" applyNumberFormat="1">
      <alignment horizontal="center" vertical="bottom"/>
    </xf>
    <xf borderId="1" fillId="0" fontId="1" numFmtId="165" xfId="0" applyAlignment="1" applyBorder="1" applyFont="1" applyNumberFormat="1">
      <alignment horizontal="center" vertical="bottom"/>
    </xf>
    <xf borderId="3" fillId="2" fontId="0" numFmtId="166" xfId="0" applyAlignment="1" applyBorder="1" applyFont="1" applyNumberFormat="1">
      <alignment vertical="bottom"/>
    </xf>
    <xf borderId="4" fillId="2" fontId="1" numFmtId="165" xfId="0" applyAlignment="1" applyBorder="1" applyFont="1" applyNumberFormat="1">
      <alignment horizontal="center" vertical="bottom"/>
    </xf>
    <xf borderId="3" fillId="0" fontId="1" numFmtId="166" xfId="0" applyAlignment="1" applyBorder="1" applyFont="1" applyNumberFormat="1">
      <alignment vertical="bottom"/>
    </xf>
    <xf borderId="3" fillId="4" fontId="1" numFmtId="0" xfId="0" applyAlignment="1" applyBorder="1" applyFill="1" applyFont="1">
      <alignment readingOrder="0" vertical="bottom"/>
    </xf>
    <xf borderId="4" fillId="4" fontId="1" numFmtId="165" xfId="0" applyAlignment="1" applyBorder="1" applyFont="1" applyNumberFormat="1">
      <alignment horizontal="center" vertical="bottom"/>
    </xf>
    <xf borderId="4" fillId="4" fontId="1" numFmtId="167" xfId="0" applyAlignment="1" applyBorder="1" applyFont="1" applyNumberFormat="1">
      <alignment horizontal="center" vertical="bottom"/>
    </xf>
    <xf borderId="4" fillId="0" fontId="1" numFmtId="0" xfId="0" applyAlignment="1" applyBorder="1" applyFont="1">
      <alignment horizontal="center" readingOrder="0" vertical="bottom"/>
    </xf>
    <xf borderId="4" fillId="0" fontId="1" numFmtId="165" xfId="0" applyAlignment="1" applyBorder="1" applyFont="1" applyNumberFormat="1">
      <alignment horizontal="center" readingOrder="0" vertical="bottom"/>
    </xf>
    <xf borderId="0" fillId="0" fontId="2" numFmtId="0" xfId="0" applyAlignment="1" applyFont="1">
      <alignment horizontal="center"/>
    </xf>
    <xf borderId="4" fillId="0" fontId="1" numFmtId="167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readingOrder="0" vertical="bottom"/>
    </xf>
    <xf borderId="2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0" fillId="0" fontId="1" numFmtId="0" xfId="0" applyFont="1"/>
    <xf borderId="4" fillId="0" fontId="1" numFmtId="0" xfId="0" applyAlignment="1" applyBorder="1" applyFont="1">
      <alignment horizontal="right" readingOrder="0" vertical="bottom"/>
    </xf>
    <xf borderId="4" fillId="0" fontId="1" numFmtId="0" xfId="0" applyAlignment="1" applyBorder="1" applyFont="1">
      <alignment horizontal="center" vertical="bottom"/>
    </xf>
    <xf borderId="4" fillId="0" fontId="1" numFmtId="0" xfId="0" applyAlignment="1" applyBorder="1" applyFont="1">
      <alignment vertical="bottom"/>
    </xf>
    <xf borderId="1" fillId="0" fontId="2" numFmtId="0" xfId="0" applyAlignment="1" applyBorder="1" applyFont="1">
      <alignment horizontal="left" readingOrder="0"/>
    </xf>
    <xf borderId="1" fillId="0" fontId="2" numFmtId="0" xfId="0" applyAlignment="1" applyBorder="1" applyFont="1">
      <alignment horizontal="right" readingOrder="0"/>
    </xf>
    <xf borderId="3" fillId="0" fontId="1" numFmtId="0" xfId="0" applyAlignment="1" applyBorder="1" applyFont="1">
      <alignment vertical="bottom"/>
    </xf>
    <xf borderId="4" fillId="2" fontId="1" numFmtId="0" xfId="0" applyAlignment="1" applyBorder="1" applyFont="1">
      <alignment horizontal="center" vertical="bottom"/>
    </xf>
    <xf borderId="4" fillId="0" fontId="0" numFmtId="164" xfId="0" applyAlignment="1" applyBorder="1" applyFont="1" applyNumberFormat="1">
      <alignment vertical="bottom"/>
    </xf>
    <xf borderId="3" fillId="3" fontId="1" numFmtId="0" xfId="0" applyAlignment="1" applyBorder="1" applyFont="1">
      <alignment readingOrder="0" vertical="bottom"/>
    </xf>
    <xf borderId="1" fillId="0" fontId="3" numFmtId="0" xfId="0" applyAlignment="1" applyBorder="1" applyFont="1">
      <alignment vertical="bottom"/>
    </xf>
    <xf borderId="2" fillId="0" fontId="4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0" xfId="0" applyAlignment="1" applyBorder="1" applyFont="1">
      <alignment horizontal="center" readingOrder="0" vertical="bottom"/>
    </xf>
    <xf borderId="3" fillId="0" fontId="3" numFmtId="0" xfId="0" applyAlignment="1" applyBorder="1" applyFont="1">
      <alignment readingOrder="0" vertical="bottom"/>
    </xf>
    <xf borderId="4" fillId="0" fontId="3" numFmtId="0" xfId="0" applyAlignment="1" applyBorder="1" applyFont="1">
      <alignment horizontal="center" vertical="bottom"/>
    </xf>
    <xf borderId="3" fillId="0" fontId="4" numFmtId="0" xfId="0" applyAlignment="1" applyBorder="1" applyFont="1">
      <alignment vertical="bottom"/>
    </xf>
    <xf borderId="1" fillId="0" fontId="1" numFmtId="165" xfId="0" applyAlignment="1" applyBorder="1" applyFont="1" applyNumberFormat="1">
      <alignment horizontal="center" vertical="bottom"/>
    </xf>
    <xf borderId="4" fillId="0" fontId="4" numFmtId="0" xfId="0" applyAlignment="1" applyBorder="1" applyFont="1">
      <alignment vertical="bottom"/>
    </xf>
    <xf borderId="4" fillId="0" fontId="1" numFmtId="165" xfId="0" applyAlignment="1" applyBorder="1" applyFont="1" applyNumberFormat="1">
      <alignment horizontal="center" vertical="bottom"/>
    </xf>
    <xf borderId="4" fillId="0" fontId="4" numFmtId="168" xfId="0" applyAlignment="1" applyBorder="1" applyFont="1" applyNumberFormat="1">
      <alignment vertical="bottom"/>
    </xf>
    <xf borderId="0" fillId="0" fontId="5" numFmtId="168" xfId="0" applyAlignment="1" applyFont="1" applyNumberFormat="1">
      <alignment vertical="bottom"/>
    </xf>
    <xf borderId="4" fillId="2" fontId="1" numFmtId="165" xfId="0" applyAlignment="1" applyBorder="1" applyFont="1" applyNumberFormat="1">
      <alignment horizontal="center" vertical="bottom"/>
    </xf>
    <xf borderId="4" fillId="0" fontId="3" numFmtId="164" xfId="0" applyAlignment="1" applyBorder="1" applyFont="1" applyNumberFormat="1">
      <alignment horizontal="right" vertical="bottom"/>
    </xf>
    <xf borderId="3" fillId="0" fontId="1" numFmtId="166" xfId="0" applyAlignment="1" applyBorder="1" applyFont="1" applyNumberFormat="1">
      <alignment vertical="bottom"/>
    </xf>
    <xf borderId="4" fillId="0" fontId="3" numFmtId="164" xfId="0" applyAlignment="1" applyBorder="1" applyFont="1" applyNumberFormat="1">
      <alignment horizontal="right" readingOrder="0" vertical="bottom"/>
    </xf>
    <xf borderId="4" fillId="0" fontId="0" numFmtId="164" xfId="0" applyAlignment="1" applyBorder="1" applyFont="1" applyNumberFormat="1">
      <alignment horizontal="right" readingOrder="0" vertical="bottom"/>
    </xf>
    <xf borderId="4" fillId="0" fontId="4" numFmtId="164" xfId="0" applyAlignment="1" applyBorder="1" applyFont="1" applyNumberFormat="1">
      <alignment vertical="bottom"/>
    </xf>
    <xf borderId="4" fillId="0" fontId="0" numFmtId="164" xfId="0" applyAlignment="1" applyBorder="1" applyFont="1" applyNumberFormat="1">
      <alignment readingOrder="0" vertical="bottom"/>
    </xf>
    <xf borderId="4" fillId="0" fontId="0" numFmtId="164" xfId="0" applyAlignment="1" applyBorder="1" applyFont="1" applyNumberFormat="1">
      <alignment horizontal="right" vertical="bottom"/>
    </xf>
    <xf borderId="3" fillId="0" fontId="1" numFmtId="0" xfId="0" applyAlignment="1" applyBorder="1" applyFont="1">
      <alignment readingOrder="0" vertical="bottom"/>
    </xf>
    <xf borderId="4" fillId="0" fontId="1" numFmtId="167" xfId="0" applyAlignment="1" applyBorder="1" applyFont="1" applyNumberFormat="1">
      <alignment horizontal="center" vertical="bottom"/>
    </xf>
    <xf borderId="3" fillId="4" fontId="1" numFmtId="0" xfId="0" applyAlignment="1" applyBorder="1" applyFont="1">
      <alignment readingOrder="0" vertical="bottom"/>
    </xf>
    <xf borderId="4" fillId="4" fontId="1" numFmtId="165" xfId="0" applyAlignment="1" applyBorder="1" applyFont="1" applyNumberFormat="1">
      <alignment horizontal="center" vertical="bottom"/>
    </xf>
    <xf borderId="4" fillId="4" fontId="1" numFmtId="167" xfId="0" applyAlignment="1" applyBorder="1" applyFont="1" applyNumberFormat="1">
      <alignment horizontal="center" vertical="bottom"/>
    </xf>
    <xf borderId="4" fillId="0" fontId="1" numFmtId="0" xfId="0" applyAlignment="1" applyBorder="1" applyFont="1">
      <alignment horizontal="right" readingOrder="0" vertical="bottom"/>
    </xf>
    <xf borderId="1" fillId="0" fontId="1" numFmtId="0" xfId="0" applyAlignment="1" applyBorder="1" applyFont="1">
      <alignment readingOrder="0" vertical="bottom"/>
    </xf>
    <xf borderId="1" fillId="0" fontId="1" numFmtId="0" xfId="0" applyAlignment="1" applyBorder="1" applyFont="1">
      <alignment horizontal="right" readingOrder="0" vertical="bottom"/>
    </xf>
    <xf borderId="4" fillId="0" fontId="3" numFmtId="10" xfId="0" applyAlignment="1" applyBorder="1" applyFont="1" applyNumberFormat="1">
      <alignment horizontal="right" vertical="bottom"/>
    </xf>
    <xf borderId="1" fillId="0" fontId="1" numFmtId="0" xfId="0" applyAlignment="1" applyBorder="1" applyFont="1">
      <alignment readingOrder="0" vertical="bottom"/>
    </xf>
    <xf borderId="0" fillId="0" fontId="1" numFmtId="0" xfId="0" applyAlignment="1" applyFont="1">
      <alignment vertical="bottom"/>
    </xf>
    <xf borderId="5" fillId="0" fontId="5" numFmtId="0" xfId="0" applyAlignment="1" applyBorder="1" applyFont="1">
      <alignment vertical="bottom"/>
    </xf>
    <xf borderId="3" fillId="5" fontId="6" numFmtId="0" xfId="0" applyAlignment="1" applyBorder="1" applyFill="1" applyFont="1">
      <alignment horizontal="center" vertical="top"/>
    </xf>
    <xf borderId="4" fillId="5" fontId="6" numFmtId="0" xfId="0" applyAlignment="1" applyBorder="1" applyFont="1">
      <alignment horizontal="center" vertical="top"/>
    </xf>
    <xf borderId="0" fillId="0" fontId="1" numFmtId="0" xfId="0" applyAlignment="1" applyFont="1">
      <alignment vertical="bottom"/>
    </xf>
    <xf borderId="5" fillId="5" fontId="6" numFmtId="0" xfId="0" applyAlignment="1" applyBorder="1" applyFont="1">
      <alignment horizontal="center" vertical="top"/>
    </xf>
    <xf borderId="4" fillId="0" fontId="7" numFmtId="0" xfId="0" applyBorder="1" applyFont="1"/>
    <xf borderId="0" fillId="0" fontId="5" numFmtId="0" xfId="0" applyAlignment="1" applyFont="1">
      <alignment vertical="top"/>
    </xf>
    <xf borderId="3" fillId="3" fontId="8" numFmtId="0" xfId="0" applyAlignment="1" applyBorder="1" applyFont="1">
      <alignment horizontal="center" vertical="top"/>
    </xf>
    <xf borderId="4" fillId="3" fontId="8" numFmtId="9" xfId="0" applyAlignment="1" applyBorder="1" applyFont="1" applyNumberFormat="1">
      <alignment horizontal="center" vertical="top"/>
    </xf>
    <xf borderId="4" fillId="3" fontId="8" numFmtId="0" xfId="0" applyAlignment="1" applyBorder="1" applyFont="1">
      <alignment horizontal="center" vertical="top"/>
    </xf>
    <xf borderId="5" fillId="3" fontId="8" numFmtId="0" xfId="0" applyAlignment="1" applyBorder="1" applyFont="1">
      <alignment horizontal="center" vertical="top"/>
    </xf>
    <xf borderId="4" fillId="3" fontId="8" numFmtId="0" xfId="0" applyAlignment="1" applyBorder="1" applyFont="1">
      <alignment horizontal="center" shrinkToFit="0" vertical="top" wrapText="1"/>
    </xf>
    <xf borderId="6" fillId="0" fontId="9" numFmtId="0" xfId="0" applyAlignment="1" applyBorder="1" applyFont="1">
      <alignment horizontal="center" readingOrder="0"/>
    </xf>
    <xf borderId="5" fillId="3" fontId="8" numFmtId="0" xfId="0" applyAlignment="1" applyBorder="1" applyFont="1">
      <alignment horizontal="center" shrinkToFit="0" vertical="top" wrapText="1"/>
    </xf>
    <xf borderId="7" fillId="0" fontId="7" numFmtId="0" xfId="0" applyBorder="1" applyFont="1"/>
    <xf borderId="2" fillId="0" fontId="7" numFmtId="0" xfId="0" applyBorder="1" applyFont="1"/>
    <xf borderId="1" fillId="0" fontId="7" numFmtId="0" xfId="0" applyBorder="1" applyFont="1"/>
    <xf borderId="1" fillId="0" fontId="7" numFmtId="0" xfId="0" applyAlignment="1" applyBorder="1" applyFont="1">
      <alignment readingOrder="0"/>
    </xf>
    <xf borderId="1" fillId="0" fontId="7" numFmtId="0" xfId="0" applyAlignment="1" applyBorder="1" applyFont="1">
      <alignment horizontal="left" readingOrder="0"/>
    </xf>
    <xf borderId="1" fillId="0" fontId="7" numFmtId="10" xfId="0" applyAlignment="1" applyBorder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9.14"/>
    <col customWidth="1" min="2" max="2" width="12.71"/>
    <col customWidth="1" min="3" max="5" width="11.71"/>
    <col customWidth="1" min="6" max="13" width="12.71"/>
  </cols>
  <sheetData>
    <row r="1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>
      <c r="A2" s="8" t="s">
        <v>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>
      <c r="A3" s="4" t="s">
        <v>8</v>
      </c>
      <c r="B3" s="7" t="s">
        <v>3</v>
      </c>
      <c r="C3" s="9" t="s">
        <v>7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</row>
    <row r="4">
      <c r="A4" s="1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>
      <c r="A5" s="11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>
      <c r="A6" s="8" t="s">
        <v>20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>
      <c r="A7" s="14" t="s">
        <v>21</v>
      </c>
      <c r="B7" s="13">
        <v>0.0</v>
      </c>
      <c r="C7" s="13">
        <v>0.0</v>
      </c>
      <c r="D7" s="13">
        <v>0.0</v>
      </c>
      <c r="E7" s="13">
        <v>0.0</v>
      </c>
      <c r="F7" s="13">
        <v>0.0</v>
      </c>
      <c r="G7" s="13">
        <v>0.0</v>
      </c>
      <c r="H7" s="13">
        <v>0.0</v>
      </c>
      <c r="I7" s="13">
        <v>0.0</v>
      </c>
      <c r="J7" s="13">
        <v>0.0</v>
      </c>
      <c r="K7" s="13">
        <v>0.0</v>
      </c>
      <c r="L7" s="13">
        <v>0.0</v>
      </c>
      <c r="M7" s="13">
        <v>0.0</v>
      </c>
    </row>
    <row r="8">
      <c r="A8" s="14" t="s">
        <v>23</v>
      </c>
      <c r="B8" s="13">
        <v>0.0</v>
      </c>
      <c r="C8" s="13">
        <v>0.0</v>
      </c>
      <c r="D8" s="13">
        <v>0.0</v>
      </c>
      <c r="E8" s="13">
        <v>0.0</v>
      </c>
      <c r="F8" s="13">
        <v>0.0</v>
      </c>
      <c r="G8" s="13">
        <v>0.0</v>
      </c>
      <c r="H8" s="13">
        <v>0.0</v>
      </c>
      <c r="I8" s="13">
        <v>0.0</v>
      </c>
      <c r="J8" s="13">
        <v>0.0</v>
      </c>
      <c r="K8" s="13">
        <v>0.0</v>
      </c>
      <c r="L8" s="13">
        <v>0.0</v>
      </c>
      <c r="M8" s="13">
        <v>0.0</v>
      </c>
    </row>
    <row r="9">
      <c r="A9" s="15" t="s">
        <v>25</v>
      </c>
      <c r="B9" s="13">
        <v>0.0</v>
      </c>
      <c r="C9" s="13">
        <v>0.0</v>
      </c>
      <c r="D9" s="13">
        <v>0.0</v>
      </c>
      <c r="E9" s="13">
        <v>0.0</v>
      </c>
      <c r="F9" s="13">
        <v>0.0</v>
      </c>
      <c r="G9" s="13">
        <v>0.0</v>
      </c>
      <c r="H9" s="13">
        <v>0.0</v>
      </c>
      <c r="I9" s="13">
        <v>0.0</v>
      </c>
      <c r="J9" s="13">
        <v>0.0</v>
      </c>
      <c r="K9" s="13">
        <v>0.0</v>
      </c>
      <c r="L9" s="13">
        <v>0.0</v>
      </c>
      <c r="M9" s="13">
        <v>0.0</v>
      </c>
    </row>
    <row r="10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>
      <c r="A11" s="16" t="s">
        <v>26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>
      <c r="A12" s="16" t="s">
        <v>27</v>
      </c>
      <c r="B12" s="17">
        <v>160000.0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>
      <c r="A13" s="14" t="s">
        <v>28</v>
      </c>
      <c r="B13" s="13"/>
      <c r="C13" s="13"/>
      <c r="D13" s="13"/>
      <c r="E13" s="13"/>
      <c r="F13" s="17">
        <v>530000.0</v>
      </c>
      <c r="G13" s="13"/>
      <c r="H13" s="13"/>
      <c r="I13" s="13"/>
      <c r="J13" s="13"/>
      <c r="K13" s="13"/>
      <c r="L13" s="13"/>
      <c r="M13" s="13"/>
    </row>
    <row r="14">
      <c r="A14" s="18" t="s">
        <v>31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7">
        <v>10000.0</v>
      </c>
    </row>
    <row r="15">
      <c r="A15" s="18" t="s">
        <v>32</v>
      </c>
      <c r="B15" s="13"/>
      <c r="C15" s="13"/>
      <c r="D15" s="13"/>
      <c r="E15" s="13"/>
      <c r="F15" s="13"/>
      <c r="G15" s="13"/>
      <c r="H15" s="13"/>
      <c r="I15" s="17">
        <v>150000.0</v>
      </c>
      <c r="J15" s="13"/>
      <c r="K15" s="13"/>
      <c r="L15" s="13"/>
      <c r="M15" s="13"/>
    </row>
    <row r="16">
      <c r="A16" s="1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>
      <c r="A17" s="8" t="s">
        <v>34</v>
      </c>
      <c r="B17" s="13">
        <f t="shared" ref="B17:M17" si="1">sum(B7:B16)</f>
        <v>160000</v>
      </c>
      <c r="C17" s="13">
        <f t="shared" si="1"/>
        <v>0</v>
      </c>
      <c r="D17" s="13">
        <f t="shared" si="1"/>
        <v>0</v>
      </c>
      <c r="E17" s="13">
        <f t="shared" si="1"/>
        <v>0</v>
      </c>
      <c r="F17" s="13">
        <f t="shared" si="1"/>
        <v>530000</v>
      </c>
      <c r="G17" s="13">
        <f t="shared" si="1"/>
        <v>0</v>
      </c>
      <c r="H17" s="13">
        <f t="shared" si="1"/>
        <v>0</v>
      </c>
      <c r="I17" s="13">
        <f t="shared" si="1"/>
        <v>150000</v>
      </c>
      <c r="J17" s="13">
        <f t="shared" si="1"/>
        <v>0</v>
      </c>
      <c r="K17" s="13">
        <f t="shared" si="1"/>
        <v>0</v>
      </c>
      <c r="L17" s="13">
        <f t="shared" si="1"/>
        <v>0</v>
      </c>
      <c r="M17" s="13">
        <f t="shared" si="1"/>
        <v>10000</v>
      </c>
    </row>
    <row r="18">
      <c r="A18" s="1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>
      <c r="A19" s="21" t="s">
        <v>35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>
      <c r="A20" s="2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>
      <c r="A21" s="14" t="s">
        <v>36</v>
      </c>
      <c r="B21" s="13">
        <v>30000.0</v>
      </c>
      <c r="C21" s="17">
        <v>1000.0</v>
      </c>
      <c r="D21" s="17">
        <v>1000.0</v>
      </c>
      <c r="E21" s="17">
        <v>1000.0</v>
      </c>
      <c r="F21" s="17">
        <v>1000.0</v>
      </c>
      <c r="G21" s="17">
        <v>1000.0</v>
      </c>
      <c r="H21" s="17">
        <v>1000.0</v>
      </c>
      <c r="I21" s="17">
        <v>1000.0</v>
      </c>
      <c r="J21" s="17">
        <v>1000.0</v>
      </c>
      <c r="K21" s="17">
        <v>1000.0</v>
      </c>
      <c r="L21" s="17">
        <v>1000.0</v>
      </c>
      <c r="M21" s="17">
        <v>1000.0</v>
      </c>
    </row>
    <row r="22">
      <c r="A22" s="14" t="s">
        <v>37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>
      <c r="A23" s="14" t="s">
        <v>41</v>
      </c>
      <c r="B23" s="17">
        <v>20000.0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>
      <c r="A24" s="16" t="s">
        <v>38</v>
      </c>
      <c r="B24" s="13"/>
      <c r="C24" s="13"/>
      <c r="D24" s="13"/>
      <c r="E24" s="13">
        <v>1000.0</v>
      </c>
      <c r="F24" s="13">
        <v>1000.0</v>
      </c>
      <c r="G24" s="13">
        <v>1000.0</v>
      </c>
      <c r="H24" s="13">
        <v>1000.0</v>
      </c>
      <c r="I24" s="13">
        <v>1000.0</v>
      </c>
      <c r="J24" s="13">
        <v>1000.0</v>
      </c>
      <c r="K24" s="13">
        <v>1000.0</v>
      </c>
      <c r="L24" s="13">
        <v>1000.0</v>
      </c>
      <c r="M24" s="13">
        <v>1000.0</v>
      </c>
    </row>
    <row r="25">
      <c r="A25" s="16" t="s">
        <v>45</v>
      </c>
      <c r="B25" s="13">
        <v>3000.0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>
      <c r="A26" s="16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>
      <c r="A27" s="16" t="s">
        <v>43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>
      <c r="A28" s="16" t="s">
        <v>44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>
      <c r="A29" s="14" t="s">
        <v>47</v>
      </c>
      <c r="B29" s="13"/>
      <c r="C29" s="13"/>
      <c r="D29" s="13"/>
      <c r="E29" s="13"/>
      <c r="F29" s="13"/>
      <c r="G29" s="13"/>
      <c r="H29" s="13"/>
      <c r="I29" s="13"/>
      <c r="J29" s="13">
        <v>25000.0</v>
      </c>
      <c r="K29" s="13">
        <v>25000.0</v>
      </c>
      <c r="L29" s="13">
        <v>25000.0</v>
      </c>
      <c r="M29" s="13"/>
    </row>
    <row r="30">
      <c r="A30" s="14" t="s">
        <v>49</v>
      </c>
      <c r="B30" s="13">
        <v>12500.0</v>
      </c>
      <c r="C30" s="13">
        <v>12500.0</v>
      </c>
      <c r="D30" s="13">
        <v>12500.0</v>
      </c>
      <c r="E30" s="13">
        <v>12500.0</v>
      </c>
      <c r="F30" s="13">
        <v>12500.0</v>
      </c>
      <c r="G30" s="13">
        <v>12500.0</v>
      </c>
      <c r="H30" s="13">
        <v>12500.0</v>
      </c>
      <c r="I30" s="13">
        <v>12500.0</v>
      </c>
      <c r="J30" s="13">
        <v>12500.0</v>
      </c>
      <c r="K30" s="13">
        <v>12500.0</v>
      </c>
      <c r="L30" s="13">
        <v>12500.0</v>
      </c>
      <c r="M30" s="13">
        <v>12500.0</v>
      </c>
    </row>
    <row r="31">
      <c r="A31" s="16" t="s">
        <v>51</v>
      </c>
      <c r="B31" s="17">
        <v>6000.0</v>
      </c>
      <c r="C31" s="17">
        <v>6000.0</v>
      </c>
      <c r="D31" s="17">
        <v>6000.0</v>
      </c>
      <c r="E31" s="17">
        <v>6000.0</v>
      </c>
      <c r="F31" s="17">
        <v>6000.0</v>
      </c>
      <c r="G31" s="17">
        <v>6000.0</v>
      </c>
      <c r="H31" s="17">
        <v>6000.0</v>
      </c>
      <c r="I31" s="17">
        <v>6000.0</v>
      </c>
      <c r="J31" s="17">
        <v>6000.0</v>
      </c>
      <c r="K31" s="17">
        <v>6000.0</v>
      </c>
      <c r="L31" s="17">
        <v>6000.0</v>
      </c>
      <c r="M31" s="17">
        <v>6000.0</v>
      </c>
    </row>
    <row r="32">
      <c r="A32" s="16" t="s">
        <v>52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>
      <c r="A33" s="16" t="s">
        <v>53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>
      <c r="A35" s="8" t="s">
        <v>54</v>
      </c>
      <c r="B35" s="13">
        <f t="shared" ref="B35:M35" si="2">B17</f>
        <v>160000</v>
      </c>
      <c r="C35" s="13">
        <f t="shared" si="2"/>
        <v>0</v>
      </c>
      <c r="D35" s="13">
        <f t="shared" si="2"/>
        <v>0</v>
      </c>
      <c r="E35" s="13">
        <f t="shared" si="2"/>
        <v>0</v>
      </c>
      <c r="F35" s="13">
        <f t="shared" si="2"/>
        <v>530000</v>
      </c>
      <c r="G35" s="13">
        <f t="shared" si="2"/>
        <v>0</v>
      </c>
      <c r="H35" s="13">
        <f t="shared" si="2"/>
        <v>0</v>
      </c>
      <c r="I35" s="13">
        <f t="shared" si="2"/>
        <v>150000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10000</v>
      </c>
    </row>
    <row r="36">
      <c r="A36" s="8" t="s">
        <v>55</v>
      </c>
      <c r="B36" s="13">
        <f t="shared" ref="B36:M36" si="3">sum(B21:B33)</f>
        <v>71500</v>
      </c>
      <c r="C36" s="13">
        <f t="shared" si="3"/>
        <v>19500</v>
      </c>
      <c r="D36" s="13">
        <f t="shared" si="3"/>
        <v>19500</v>
      </c>
      <c r="E36" s="13">
        <f t="shared" si="3"/>
        <v>20500</v>
      </c>
      <c r="F36" s="13">
        <f t="shared" si="3"/>
        <v>20500</v>
      </c>
      <c r="G36" s="13">
        <f t="shared" si="3"/>
        <v>20500</v>
      </c>
      <c r="H36" s="13">
        <f t="shared" si="3"/>
        <v>20500</v>
      </c>
      <c r="I36" s="13">
        <f t="shared" si="3"/>
        <v>20500</v>
      </c>
      <c r="J36" s="13">
        <f t="shared" si="3"/>
        <v>45500</v>
      </c>
      <c r="K36" s="13">
        <f t="shared" si="3"/>
        <v>45500</v>
      </c>
      <c r="L36" s="13">
        <f t="shared" si="3"/>
        <v>45500</v>
      </c>
      <c r="M36" s="13">
        <f t="shared" si="3"/>
        <v>20500</v>
      </c>
    </row>
    <row r="37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>
      <c r="A38" s="8" t="s">
        <v>58</v>
      </c>
      <c r="B38" s="13">
        <f>B35</f>
        <v>160000</v>
      </c>
      <c r="C38" s="13">
        <f>B39</f>
        <v>88500</v>
      </c>
      <c r="D38" s="13">
        <f>C38</f>
        <v>88500</v>
      </c>
      <c r="E38" s="13">
        <f t="shared" ref="E38:M38" si="4">D39</f>
        <v>69000</v>
      </c>
      <c r="F38" s="13">
        <f t="shared" si="4"/>
        <v>48500</v>
      </c>
      <c r="G38" s="13">
        <f t="shared" si="4"/>
        <v>558000</v>
      </c>
      <c r="H38" s="13">
        <f t="shared" si="4"/>
        <v>537500</v>
      </c>
      <c r="I38" s="13">
        <f t="shared" si="4"/>
        <v>517000</v>
      </c>
      <c r="J38" s="13">
        <f t="shared" si="4"/>
        <v>646500</v>
      </c>
      <c r="K38" s="13">
        <f t="shared" si="4"/>
        <v>601000</v>
      </c>
      <c r="L38" s="13">
        <f t="shared" si="4"/>
        <v>555500</v>
      </c>
      <c r="M38" s="13">
        <f t="shared" si="4"/>
        <v>510000</v>
      </c>
    </row>
    <row r="39">
      <c r="A39" s="8" t="s">
        <v>62</v>
      </c>
      <c r="B39" s="13">
        <f>B35-B36</f>
        <v>88500</v>
      </c>
      <c r="C39" s="13">
        <f t="shared" ref="C39:M39" si="5">C38+C35-C36</f>
        <v>69000</v>
      </c>
      <c r="D39" s="13">
        <f t="shared" si="5"/>
        <v>69000</v>
      </c>
      <c r="E39" s="13">
        <f t="shared" si="5"/>
        <v>48500</v>
      </c>
      <c r="F39" s="13">
        <f t="shared" si="5"/>
        <v>558000</v>
      </c>
      <c r="G39" s="13">
        <f t="shared" si="5"/>
        <v>537500</v>
      </c>
      <c r="H39" s="13">
        <f t="shared" si="5"/>
        <v>517000</v>
      </c>
      <c r="I39" s="13">
        <f t="shared" si="5"/>
        <v>646500</v>
      </c>
      <c r="J39" s="13">
        <f t="shared" si="5"/>
        <v>601000</v>
      </c>
      <c r="K39" s="13">
        <f t="shared" si="5"/>
        <v>555500</v>
      </c>
      <c r="L39" s="13">
        <f t="shared" si="5"/>
        <v>510000</v>
      </c>
      <c r="M39" s="13">
        <f t="shared" si="5"/>
        <v>499500</v>
      </c>
    </row>
    <row r="40">
      <c r="A40" s="10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>
      <c r="A41" s="10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>
      <c r="A42" s="24" t="s">
        <v>63</v>
      </c>
      <c r="B42" s="25"/>
      <c r="C42" s="25"/>
      <c r="D42" s="25"/>
      <c r="E42" s="25"/>
      <c r="F42" s="25"/>
      <c r="G42" s="25"/>
      <c r="H42" s="25"/>
      <c r="I42" s="26"/>
      <c r="J42" s="26"/>
      <c r="K42" s="26"/>
      <c r="L42" s="26"/>
      <c r="M42" s="26"/>
    </row>
    <row r="43">
      <c r="A43" s="18" t="s">
        <v>65</v>
      </c>
      <c r="B43" s="27">
        <v>0.0</v>
      </c>
      <c r="C43" s="27">
        <v>0.0</v>
      </c>
      <c r="D43" s="27">
        <v>0.0</v>
      </c>
      <c r="E43" s="27">
        <v>0.0</v>
      </c>
      <c r="F43" s="27">
        <v>0.0</v>
      </c>
      <c r="G43" s="27">
        <v>0.0</v>
      </c>
      <c r="H43" s="27">
        <v>0.0</v>
      </c>
      <c r="I43" s="27">
        <v>0.0</v>
      </c>
      <c r="J43" s="27">
        <v>0.0</v>
      </c>
      <c r="K43" s="27">
        <v>0.0</v>
      </c>
      <c r="L43" s="27">
        <v>0.0</v>
      </c>
      <c r="M43" s="27">
        <v>0.0</v>
      </c>
    </row>
    <row r="44">
      <c r="A44" s="18" t="s">
        <v>66</v>
      </c>
      <c r="B44" s="27">
        <v>4.0</v>
      </c>
      <c r="C44" s="27">
        <v>4.0</v>
      </c>
      <c r="D44" s="27">
        <v>4.0</v>
      </c>
      <c r="E44" s="27">
        <v>4.0</v>
      </c>
      <c r="F44" s="27">
        <v>4.0</v>
      </c>
      <c r="G44" s="27">
        <v>4.0</v>
      </c>
      <c r="H44" s="27">
        <v>4.0</v>
      </c>
      <c r="I44" s="27">
        <v>4.0</v>
      </c>
      <c r="J44" s="27">
        <v>4.0</v>
      </c>
      <c r="K44" s="27">
        <v>4.0</v>
      </c>
      <c r="L44" s="27">
        <v>4.0</v>
      </c>
      <c r="M44" s="27">
        <v>4.0</v>
      </c>
    </row>
    <row r="45">
      <c r="A45" s="18" t="s">
        <v>67</v>
      </c>
      <c r="B45" s="28">
        <v>0.0</v>
      </c>
      <c r="C45" s="28">
        <v>0.0</v>
      </c>
      <c r="D45" s="28">
        <v>0.0</v>
      </c>
      <c r="E45" s="28">
        <v>0.0</v>
      </c>
      <c r="F45" s="28">
        <v>0.0</v>
      </c>
      <c r="G45" s="28">
        <v>0.0</v>
      </c>
      <c r="H45" s="28">
        <v>0.0</v>
      </c>
      <c r="I45" s="28">
        <v>0.0</v>
      </c>
      <c r="J45" s="28">
        <v>0.0</v>
      </c>
      <c r="K45" s="28">
        <v>0.0</v>
      </c>
      <c r="L45" s="28">
        <v>0.0</v>
      </c>
      <c r="M45" s="28">
        <v>0.0</v>
      </c>
    </row>
    <row r="46">
      <c r="A46" s="18" t="s">
        <v>69</v>
      </c>
      <c r="B46" s="28">
        <v>0.0</v>
      </c>
      <c r="C46" s="28">
        <v>0.0</v>
      </c>
      <c r="D46" s="28">
        <v>0.0</v>
      </c>
      <c r="E46" s="28">
        <v>0.0</v>
      </c>
      <c r="F46" s="28">
        <v>0.0</v>
      </c>
      <c r="G46" s="28">
        <v>0.0</v>
      </c>
      <c r="H46" s="28">
        <v>0.0</v>
      </c>
      <c r="I46" s="28">
        <v>0.0</v>
      </c>
      <c r="J46" s="28">
        <v>0.0</v>
      </c>
      <c r="K46" s="28">
        <v>0.0</v>
      </c>
      <c r="L46" s="28">
        <v>0.0</v>
      </c>
      <c r="M46" s="28">
        <v>0.0</v>
      </c>
    </row>
    <row r="47">
      <c r="A47" s="3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>
      <c r="A48" s="3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>
      <c r="A49" s="3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>
      <c r="A50" s="3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>
      <c r="A51" s="3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>
      <c r="A52" s="3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>
      <c r="A53" s="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>
      <c r="A54" s="3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>
      <c r="A55" s="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>
      <c r="A56" s="3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>
      <c r="A57" s="3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>
      <c r="A58" s="3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>
      <c r="A59" s="3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</sheetData>
  <printOptions gridLines="1" horizontalCentered="1"/>
  <pageMargins bottom="0.25" footer="0.0" header="0.0" left="0.05" right="0.05" top="0.25"/>
  <pageSetup fitToWidth="0" paperSize="9" cellComments="atEnd" orientation="landscape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59.0"/>
    <col customWidth="1" min="2" max="3" width="12.29"/>
    <col customWidth="1" min="4" max="13" width="13.4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>
      <c r="A2" s="4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  <c r="O2" s="3"/>
    </row>
    <row r="3">
      <c r="A3" s="4" t="s">
        <v>5</v>
      </c>
      <c r="B3" s="7" t="s">
        <v>3</v>
      </c>
      <c r="C3" s="9" t="s">
        <v>7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3"/>
      <c r="O3" s="3"/>
    </row>
    <row r="4">
      <c r="A4" s="1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/>
      <c r="O4" s="3"/>
    </row>
    <row r="5">
      <c r="A5" s="11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"/>
      <c r="O5" s="3"/>
    </row>
    <row r="6">
      <c r="A6" s="8" t="s">
        <v>20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3"/>
      <c r="O6" s="3"/>
    </row>
    <row r="7">
      <c r="A7" s="14" t="s">
        <v>21</v>
      </c>
      <c r="B7" s="13">
        <v>0.0</v>
      </c>
      <c r="C7" s="13">
        <v>0.0</v>
      </c>
      <c r="D7" s="13">
        <v>0.0</v>
      </c>
      <c r="E7" s="13">
        <v>0.0</v>
      </c>
      <c r="F7" s="13">
        <v>0.0</v>
      </c>
      <c r="G7" s="13">
        <v>0.0</v>
      </c>
      <c r="H7" s="13">
        <v>0.0</v>
      </c>
      <c r="I7" s="13">
        <v>0.0</v>
      </c>
      <c r="J7" s="13">
        <v>0.0</v>
      </c>
      <c r="K7" s="13">
        <v>0.0</v>
      </c>
      <c r="L7" s="13">
        <v>0.0</v>
      </c>
      <c r="M7" s="13">
        <v>0.0</v>
      </c>
      <c r="N7" s="3"/>
      <c r="O7" s="3"/>
    </row>
    <row r="8">
      <c r="A8" s="14" t="s">
        <v>22</v>
      </c>
      <c r="B8" s="13">
        <v>0.0</v>
      </c>
      <c r="C8" s="13">
        <v>0.0</v>
      </c>
      <c r="D8" s="13">
        <v>0.0</v>
      </c>
      <c r="E8" s="13">
        <v>0.0</v>
      </c>
      <c r="F8" s="13">
        <v>0.0</v>
      </c>
      <c r="G8" s="13">
        <v>0.0</v>
      </c>
      <c r="H8" s="13">
        <v>0.0</v>
      </c>
      <c r="I8" s="13">
        <v>0.0</v>
      </c>
      <c r="J8" s="13">
        <v>0.0</v>
      </c>
      <c r="K8" s="13">
        <v>0.0</v>
      </c>
      <c r="L8" s="13">
        <v>0.0</v>
      </c>
      <c r="M8" s="13">
        <v>0.0</v>
      </c>
      <c r="N8" s="3"/>
      <c r="O8" s="3"/>
    </row>
    <row r="9">
      <c r="A9" s="15" t="s">
        <v>24</v>
      </c>
      <c r="B9" s="13">
        <v>0.0</v>
      </c>
      <c r="C9" s="13">
        <v>0.0</v>
      </c>
      <c r="D9" s="13">
        <v>0.0</v>
      </c>
      <c r="E9" s="13">
        <v>0.0</v>
      </c>
      <c r="F9" s="13">
        <v>0.0</v>
      </c>
      <c r="G9" s="13">
        <v>0.0</v>
      </c>
      <c r="H9" s="13">
        <v>0.0</v>
      </c>
      <c r="I9" s="13">
        <v>0.0</v>
      </c>
      <c r="J9" s="13">
        <v>0.0</v>
      </c>
      <c r="K9" s="13">
        <v>0.0</v>
      </c>
      <c r="L9" s="13">
        <v>0.0</v>
      </c>
      <c r="M9" s="13">
        <v>0.0</v>
      </c>
      <c r="N9" s="3"/>
      <c r="O9" s="3"/>
    </row>
    <row r="10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3"/>
      <c r="O10" s="3"/>
    </row>
    <row r="11">
      <c r="A11" s="16" t="s">
        <v>26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"/>
      <c r="O11" s="3"/>
    </row>
    <row r="12">
      <c r="A12" s="16" t="s">
        <v>27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"/>
      <c r="O12" s="3"/>
    </row>
    <row r="13">
      <c r="A13" s="14" t="s">
        <v>28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  <c r="O13" s="3"/>
    </row>
    <row r="14">
      <c r="A14" s="18" t="s">
        <v>29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>
        <v>30000.0</v>
      </c>
      <c r="N14" s="3"/>
      <c r="O14" s="3"/>
    </row>
    <row r="15">
      <c r="A15" s="4" t="s">
        <v>33</v>
      </c>
      <c r="B15" s="17">
        <v>300000.0</v>
      </c>
      <c r="C15" s="13"/>
      <c r="D15" s="13"/>
      <c r="E15" s="17"/>
      <c r="F15" s="13"/>
      <c r="G15" s="13"/>
      <c r="H15" s="13"/>
      <c r="I15" s="13"/>
      <c r="J15" s="17"/>
      <c r="K15" s="13"/>
      <c r="L15" s="13"/>
      <c r="M15" s="13"/>
      <c r="N15" s="3"/>
      <c r="O15" s="3"/>
    </row>
    <row r="16">
      <c r="A16" s="4" t="s">
        <v>32</v>
      </c>
      <c r="B16" s="13"/>
      <c r="C16" s="13"/>
      <c r="D16" s="13"/>
      <c r="E16" s="13"/>
      <c r="F16" s="13"/>
      <c r="G16" s="13"/>
      <c r="H16" s="13"/>
      <c r="I16" s="13"/>
      <c r="J16" s="17">
        <v>100000.0</v>
      </c>
      <c r="K16" s="13"/>
      <c r="L16" s="13"/>
      <c r="M16" s="13"/>
      <c r="N16" s="3"/>
      <c r="O16" s="3"/>
    </row>
    <row r="17">
      <c r="A17" s="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3"/>
      <c r="O17" s="3"/>
    </row>
    <row r="18">
      <c r="A18" s="8" t="s">
        <v>34</v>
      </c>
      <c r="B18" s="13">
        <f t="shared" ref="B18:M18" si="1">sum(B7:B17)</f>
        <v>300000</v>
      </c>
      <c r="C18" s="13">
        <f t="shared" si="1"/>
        <v>0</v>
      </c>
      <c r="D18" s="13">
        <f t="shared" si="1"/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  <c r="H18" s="13">
        <f t="shared" si="1"/>
        <v>0</v>
      </c>
      <c r="I18" s="13">
        <f t="shared" si="1"/>
        <v>0</v>
      </c>
      <c r="J18" s="13">
        <f t="shared" si="1"/>
        <v>100000</v>
      </c>
      <c r="K18" s="13">
        <f t="shared" si="1"/>
        <v>0</v>
      </c>
      <c r="L18" s="13">
        <f t="shared" si="1"/>
        <v>0</v>
      </c>
      <c r="M18" s="13">
        <f t="shared" si="1"/>
        <v>30000</v>
      </c>
      <c r="N18" s="3"/>
      <c r="O18" s="3"/>
    </row>
    <row r="19">
      <c r="A19" s="10"/>
      <c r="B19" s="20"/>
      <c r="C19" s="20"/>
      <c r="D19" s="20"/>
      <c r="E19" s="20"/>
      <c r="F19" s="19"/>
      <c r="G19" s="19"/>
      <c r="H19" s="19"/>
      <c r="I19" s="19"/>
      <c r="J19" s="19"/>
      <c r="K19" s="19"/>
      <c r="L19" s="19"/>
      <c r="M19" s="19"/>
      <c r="N19" s="3"/>
      <c r="O19" s="3"/>
    </row>
    <row r="20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3"/>
      <c r="O20" s="3"/>
    </row>
    <row r="21">
      <c r="A21" s="21" t="s">
        <v>35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"/>
      <c r="O21" s="3"/>
    </row>
    <row r="22">
      <c r="A22" s="2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3"/>
      <c r="O22" s="3"/>
    </row>
    <row r="23">
      <c r="A23" s="14" t="s">
        <v>36</v>
      </c>
      <c r="B23" s="17">
        <v>12000.0</v>
      </c>
      <c r="C23" s="17">
        <v>1000.0</v>
      </c>
      <c r="D23" s="17">
        <v>1000.0</v>
      </c>
      <c r="E23" s="17">
        <v>1000.0</v>
      </c>
      <c r="F23" s="17">
        <v>1000.0</v>
      </c>
      <c r="G23" s="17">
        <v>1000.0</v>
      </c>
      <c r="H23" s="17">
        <v>1000.0</v>
      </c>
      <c r="I23" s="17">
        <v>1000.0</v>
      </c>
      <c r="J23" s="17">
        <v>1000.0</v>
      </c>
      <c r="K23" s="17">
        <v>1000.0</v>
      </c>
      <c r="L23" s="17">
        <v>1000.0</v>
      </c>
      <c r="M23" s="17">
        <v>1000.0</v>
      </c>
      <c r="N23" s="3"/>
      <c r="O23" s="3"/>
    </row>
    <row r="24">
      <c r="A24" s="14" t="s">
        <v>37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3"/>
      <c r="O24" s="3"/>
    </row>
    <row r="25">
      <c r="A25" s="16" t="s">
        <v>38</v>
      </c>
      <c r="B25" s="13">
        <v>1000.0</v>
      </c>
      <c r="C25" s="13">
        <v>1000.0</v>
      </c>
      <c r="D25" s="13">
        <v>1000.0</v>
      </c>
      <c r="E25" s="13">
        <v>1000.0</v>
      </c>
      <c r="F25" s="13">
        <v>1000.0</v>
      </c>
      <c r="G25" s="13">
        <v>1000.0</v>
      </c>
      <c r="H25" s="13">
        <v>1000.0</v>
      </c>
      <c r="I25" s="13">
        <v>1000.0</v>
      </c>
      <c r="J25" s="13">
        <v>1000.0</v>
      </c>
      <c r="K25" s="13">
        <v>1000.0</v>
      </c>
      <c r="L25" s="13">
        <v>1000.0</v>
      </c>
      <c r="M25" s="13">
        <v>1000.0</v>
      </c>
      <c r="N25" s="3"/>
      <c r="O25" s="3"/>
    </row>
    <row r="26">
      <c r="A26" s="14" t="s">
        <v>40</v>
      </c>
      <c r="B26" s="13"/>
      <c r="C26" s="13">
        <v>318.0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3"/>
      <c r="O26" s="3"/>
    </row>
    <row r="27">
      <c r="A27" s="14" t="s">
        <v>42</v>
      </c>
      <c r="B27" s="13"/>
      <c r="C27" s="13">
        <v>5000.0</v>
      </c>
      <c r="D27" s="13"/>
      <c r="E27" s="13"/>
      <c r="F27" s="13"/>
      <c r="G27" s="13"/>
      <c r="H27" s="13"/>
      <c r="I27" s="13"/>
      <c r="J27" s="13"/>
      <c r="K27" s="13"/>
      <c r="L27" s="13"/>
      <c r="M27" s="13">
        <v>5000.0</v>
      </c>
      <c r="N27" s="3"/>
      <c r="O27" s="3"/>
    </row>
    <row r="28">
      <c r="A28" s="14" t="s">
        <v>43</v>
      </c>
      <c r="B28" s="13"/>
      <c r="C28" s="13">
        <v>2000.0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3"/>
      <c r="O28" s="3"/>
    </row>
    <row r="29">
      <c r="A29" s="14" t="s">
        <v>44</v>
      </c>
      <c r="B29" s="13"/>
      <c r="C29" s="13">
        <v>314.0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3"/>
      <c r="O29" s="3"/>
    </row>
    <row r="30">
      <c r="A30" s="14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7">
        <v>250000.0</v>
      </c>
      <c r="M30" s="17">
        <v>250000.0</v>
      </c>
      <c r="N30" s="3"/>
      <c r="O30" s="3"/>
    </row>
    <row r="31">
      <c r="A31" s="14" t="s">
        <v>48</v>
      </c>
      <c r="B31" s="13">
        <v>6250.0</v>
      </c>
      <c r="C31" s="13">
        <v>6250.0</v>
      </c>
      <c r="D31" s="13">
        <v>6250.0</v>
      </c>
      <c r="E31" s="13">
        <v>6250.0</v>
      </c>
      <c r="F31" s="13">
        <v>6250.0</v>
      </c>
      <c r="G31" s="13">
        <v>6250.0</v>
      </c>
      <c r="H31" s="13">
        <v>6250.0</v>
      </c>
      <c r="I31" s="13">
        <v>6250.0</v>
      </c>
      <c r="J31" s="13">
        <v>6250.0</v>
      </c>
      <c r="K31" s="13">
        <v>6250.0</v>
      </c>
      <c r="L31" s="13">
        <v>6250.0</v>
      </c>
      <c r="M31" s="13"/>
      <c r="N31" s="3"/>
      <c r="O31" s="3"/>
    </row>
    <row r="32">
      <c r="A32" s="14" t="s">
        <v>50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>
        <v>50000.0</v>
      </c>
      <c r="N32" s="3"/>
      <c r="O32" s="3"/>
    </row>
    <row r="33">
      <c r="A33" s="16" t="s">
        <v>51</v>
      </c>
      <c r="B33" s="13">
        <f t="shared" ref="B33:M33" si="2">2000*B52</f>
        <v>20000</v>
      </c>
      <c r="C33" s="13">
        <f t="shared" si="2"/>
        <v>20000</v>
      </c>
      <c r="D33" s="13">
        <f t="shared" si="2"/>
        <v>20000</v>
      </c>
      <c r="E33" s="13">
        <f t="shared" si="2"/>
        <v>20000</v>
      </c>
      <c r="F33" s="13">
        <f t="shared" si="2"/>
        <v>20000</v>
      </c>
      <c r="G33" s="13">
        <f t="shared" si="2"/>
        <v>20000</v>
      </c>
      <c r="H33" s="13">
        <f t="shared" si="2"/>
        <v>20000</v>
      </c>
      <c r="I33" s="13">
        <f t="shared" si="2"/>
        <v>20000</v>
      </c>
      <c r="J33" s="13">
        <f t="shared" si="2"/>
        <v>20000</v>
      </c>
      <c r="K33" s="13">
        <f t="shared" si="2"/>
        <v>20000</v>
      </c>
      <c r="L33" s="13">
        <f t="shared" si="2"/>
        <v>20000</v>
      </c>
      <c r="M33" s="13">
        <f t="shared" si="2"/>
        <v>20000</v>
      </c>
      <c r="N33" s="3"/>
      <c r="O33" s="3"/>
    </row>
    <row r="34">
      <c r="A34" s="16" t="s">
        <v>52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3"/>
      <c r="O34" s="3"/>
    </row>
    <row r="35">
      <c r="A35" s="16" t="s">
        <v>57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3"/>
      <c r="O35" s="3"/>
    </row>
    <row r="36">
      <c r="A36" s="16" t="s">
        <v>59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3"/>
      <c r="O36" s="3"/>
    </row>
    <row r="37">
      <c r="A37" s="16" t="s">
        <v>53</v>
      </c>
      <c r="B37" s="13">
        <v>4000.0</v>
      </c>
      <c r="C37" s="13">
        <v>4000.0</v>
      </c>
      <c r="D37" s="13">
        <v>4000.0</v>
      </c>
      <c r="E37" s="13">
        <v>4000.0</v>
      </c>
      <c r="F37" s="13">
        <v>4000.0</v>
      </c>
      <c r="G37" s="13">
        <v>4000.0</v>
      </c>
      <c r="H37" s="13">
        <v>4000.0</v>
      </c>
      <c r="I37" s="13">
        <v>4000.0</v>
      </c>
      <c r="J37" s="13">
        <v>4000.0</v>
      </c>
      <c r="K37" s="13">
        <v>4000.0</v>
      </c>
      <c r="L37" s="13">
        <v>4000.0</v>
      </c>
      <c r="M37" s="13">
        <v>4000.0</v>
      </c>
      <c r="N37" s="3"/>
      <c r="O37" s="3"/>
    </row>
    <row r="38">
      <c r="A38" s="16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 t="str">
        <f>G38</f>
        <v/>
      </c>
      <c r="N38" s="3"/>
      <c r="O38" s="3"/>
    </row>
    <row r="39">
      <c r="A39" s="16" t="s">
        <v>61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3"/>
      <c r="O39" s="3"/>
    </row>
    <row r="40">
      <c r="A40" s="10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3"/>
      <c r="O40" s="3"/>
    </row>
    <row r="41">
      <c r="A41" s="8" t="s">
        <v>54</v>
      </c>
      <c r="B41" s="13">
        <f t="shared" ref="B41:M41" si="3">B18</f>
        <v>300000</v>
      </c>
      <c r="C41" s="13">
        <f t="shared" si="3"/>
        <v>0</v>
      </c>
      <c r="D41" s="13">
        <f t="shared" si="3"/>
        <v>0</v>
      </c>
      <c r="E41" s="13">
        <f t="shared" si="3"/>
        <v>0</v>
      </c>
      <c r="F41" s="13">
        <f t="shared" si="3"/>
        <v>0</v>
      </c>
      <c r="G41" s="13">
        <f t="shared" si="3"/>
        <v>0</v>
      </c>
      <c r="H41" s="13">
        <f t="shared" si="3"/>
        <v>0</v>
      </c>
      <c r="I41" s="13">
        <f t="shared" si="3"/>
        <v>0</v>
      </c>
      <c r="J41" s="13">
        <f t="shared" si="3"/>
        <v>100000</v>
      </c>
      <c r="K41" s="13">
        <f t="shared" si="3"/>
        <v>0</v>
      </c>
      <c r="L41" s="13">
        <f t="shared" si="3"/>
        <v>0</v>
      </c>
      <c r="M41" s="13">
        <f t="shared" si="3"/>
        <v>30000</v>
      </c>
      <c r="N41" s="3"/>
      <c r="O41" s="3"/>
    </row>
    <row r="42">
      <c r="A42" s="8" t="s">
        <v>55</v>
      </c>
      <c r="B42" s="13">
        <f t="shared" ref="B42:M42" si="4">sum(B23:B39)</f>
        <v>43250</v>
      </c>
      <c r="C42" s="13">
        <f t="shared" si="4"/>
        <v>39882</v>
      </c>
      <c r="D42" s="13">
        <f t="shared" si="4"/>
        <v>32250</v>
      </c>
      <c r="E42" s="13">
        <f t="shared" si="4"/>
        <v>32250</v>
      </c>
      <c r="F42" s="13">
        <f t="shared" si="4"/>
        <v>32250</v>
      </c>
      <c r="G42" s="13">
        <f t="shared" si="4"/>
        <v>32250</v>
      </c>
      <c r="H42" s="13">
        <f t="shared" si="4"/>
        <v>32250</v>
      </c>
      <c r="I42" s="13">
        <f t="shared" si="4"/>
        <v>32250</v>
      </c>
      <c r="J42" s="13">
        <f t="shared" si="4"/>
        <v>32250</v>
      </c>
      <c r="K42" s="13">
        <f t="shared" si="4"/>
        <v>32250</v>
      </c>
      <c r="L42" s="13">
        <f t="shared" si="4"/>
        <v>282250</v>
      </c>
      <c r="M42" s="13">
        <f t="shared" si="4"/>
        <v>331000</v>
      </c>
      <c r="N42" s="3"/>
      <c r="O42" s="3"/>
    </row>
    <row r="43">
      <c r="A43" s="10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3"/>
      <c r="O43" s="3"/>
    </row>
    <row r="44">
      <c r="A44" s="8" t="s">
        <v>58</v>
      </c>
      <c r="B44" s="13">
        <f>'CC yr 1'!M39</f>
        <v>499500</v>
      </c>
      <c r="C44" s="13">
        <f t="shared" ref="C44:M44" si="5">B45</f>
        <v>756250</v>
      </c>
      <c r="D44" s="13">
        <f t="shared" si="5"/>
        <v>716368</v>
      </c>
      <c r="E44" s="13">
        <f t="shared" si="5"/>
        <v>684118</v>
      </c>
      <c r="F44" s="13">
        <f t="shared" si="5"/>
        <v>651868</v>
      </c>
      <c r="G44" s="13">
        <f t="shared" si="5"/>
        <v>619618</v>
      </c>
      <c r="H44" s="13">
        <f t="shared" si="5"/>
        <v>587368</v>
      </c>
      <c r="I44" s="13">
        <f t="shared" si="5"/>
        <v>555118</v>
      </c>
      <c r="J44" s="13">
        <f t="shared" si="5"/>
        <v>522868</v>
      </c>
      <c r="K44" s="13">
        <f t="shared" si="5"/>
        <v>590618</v>
      </c>
      <c r="L44" s="13">
        <f t="shared" si="5"/>
        <v>558368</v>
      </c>
      <c r="M44" s="13">
        <f t="shared" si="5"/>
        <v>276118</v>
      </c>
      <c r="N44" s="3"/>
      <c r="O44" s="3"/>
    </row>
    <row r="45">
      <c r="A45" s="8" t="s">
        <v>62</v>
      </c>
      <c r="B45" s="13">
        <f t="shared" ref="B45:D45" si="6">B44+(B41-B42)</f>
        <v>756250</v>
      </c>
      <c r="C45" s="13">
        <f t="shared" si="6"/>
        <v>716368</v>
      </c>
      <c r="D45" s="13">
        <f t="shared" si="6"/>
        <v>684118</v>
      </c>
      <c r="E45" s="13">
        <f t="shared" ref="E45:F45" si="7">E44+E41-E42</f>
        <v>651868</v>
      </c>
      <c r="F45" s="13">
        <f t="shared" si="7"/>
        <v>619618</v>
      </c>
      <c r="G45" s="13">
        <f t="shared" ref="G45:M45" si="8">G44+(G41-G42)</f>
        <v>587368</v>
      </c>
      <c r="H45" s="13">
        <f t="shared" si="8"/>
        <v>555118</v>
      </c>
      <c r="I45" s="13">
        <f t="shared" si="8"/>
        <v>522868</v>
      </c>
      <c r="J45" s="13">
        <f t="shared" si="8"/>
        <v>590618</v>
      </c>
      <c r="K45" s="13">
        <f t="shared" si="8"/>
        <v>558368</v>
      </c>
      <c r="L45" s="13">
        <f t="shared" si="8"/>
        <v>276118</v>
      </c>
      <c r="M45" s="13">
        <f t="shared" si="8"/>
        <v>-24882</v>
      </c>
      <c r="N45" s="3"/>
      <c r="O45" s="3"/>
    </row>
    <row r="46">
      <c r="A46" s="10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3"/>
      <c r="O46" s="3"/>
    </row>
    <row r="47">
      <c r="A47" s="10"/>
      <c r="B47" s="19"/>
      <c r="C47" s="19"/>
      <c r="D47" s="19"/>
      <c r="E47" s="19"/>
      <c r="F47" s="19"/>
      <c r="G47" s="19"/>
      <c r="H47" s="19"/>
      <c r="I47" s="30"/>
      <c r="J47" s="30"/>
      <c r="K47" s="30"/>
      <c r="L47" s="30"/>
      <c r="M47" s="30"/>
      <c r="N47" s="3"/>
      <c r="O47" s="3"/>
    </row>
    <row r="48">
      <c r="A48" s="10"/>
      <c r="B48" s="19"/>
      <c r="C48" s="19"/>
      <c r="D48" s="19"/>
      <c r="E48" s="19"/>
      <c r="F48" s="19"/>
      <c r="G48" s="19"/>
      <c r="H48" s="19"/>
      <c r="I48" s="30"/>
      <c r="J48" s="30"/>
      <c r="K48" s="30"/>
      <c r="L48" s="30"/>
      <c r="M48" s="30"/>
      <c r="N48" s="3"/>
      <c r="O48" s="3"/>
    </row>
    <row r="49">
      <c r="A49" s="10"/>
      <c r="B49" s="19"/>
      <c r="C49" s="19"/>
      <c r="D49" s="19"/>
      <c r="E49" s="19"/>
      <c r="F49" s="19"/>
      <c r="G49" s="19"/>
      <c r="H49" s="19"/>
      <c r="I49" s="30"/>
      <c r="J49" s="30"/>
      <c r="K49" s="30"/>
      <c r="L49" s="30"/>
      <c r="M49" s="30"/>
      <c r="N49" s="3"/>
      <c r="O49" s="3"/>
    </row>
    <row r="50">
      <c r="A50" s="24" t="s">
        <v>70</v>
      </c>
      <c r="B50" s="25"/>
      <c r="C50" s="25"/>
      <c r="D50" s="25"/>
      <c r="E50" s="25"/>
      <c r="F50" s="25"/>
      <c r="G50" s="25"/>
      <c r="H50" s="25"/>
      <c r="I50" s="26"/>
      <c r="J50" s="26"/>
      <c r="K50" s="26"/>
      <c r="L50" s="26"/>
      <c r="M50" s="26"/>
      <c r="N50" s="3"/>
      <c r="O50" s="3"/>
    </row>
    <row r="51">
      <c r="A51" s="18" t="s">
        <v>65</v>
      </c>
      <c r="B51" s="27">
        <v>0.0</v>
      </c>
      <c r="C51" s="27">
        <v>0.0</v>
      </c>
      <c r="D51" s="27">
        <v>0.0</v>
      </c>
      <c r="E51" s="27">
        <v>0.0</v>
      </c>
      <c r="F51" s="27">
        <v>0.0</v>
      </c>
      <c r="G51" s="27">
        <v>0.0</v>
      </c>
      <c r="H51" s="27">
        <v>0.0</v>
      </c>
      <c r="I51" s="27">
        <v>0.0</v>
      </c>
      <c r="J51" s="27">
        <v>0.0</v>
      </c>
      <c r="K51" s="27">
        <v>0.0</v>
      </c>
      <c r="L51" s="27">
        <v>0.0</v>
      </c>
      <c r="M51" s="27">
        <v>0.0</v>
      </c>
      <c r="N51" s="3"/>
      <c r="O51" s="3"/>
    </row>
    <row r="52">
      <c r="A52" s="18" t="s">
        <v>66</v>
      </c>
      <c r="B52" s="27">
        <v>10.0</v>
      </c>
      <c r="C52" s="27">
        <v>10.0</v>
      </c>
      <c r="D52" s="27">
        <v>10.0</v>
      </c>
      <c r="E52" s="27">
        <v>10.0</v>
      </c>
      <c r="F52" s="27">
        <v>10.0</v>
      </c>
      <c r="G52" s="27">
        <v>10.0</v>
      </c>
      <c r="H52" s="27">
        <v>10.0</v>
      </c>
      <c r="I52" s="27">
        <v>10.0</v>
      </c>
      <c r="J52" s="27">
        <v>10.0</v>
      </c>
      <c r="K52" s="27">
        <v>10.0</v>
      </c>
      <c r="L52" s="27">
        <v>10.0</v>
      </c>
      <c r="M52" s="27">
        <v>10.0</v>
      </c>
      <c r="N52" s="3"/>
      <c r="O52" s="3"/>
    </row>
    <row r="53">
      <c r="A53" s="18" t="s">
        <v>67</v>
      </c>
      <c r="B53" s="28">
        <v>0.0</v>
      </c>
      <c r="C53" s="28">
        <v>0.0</v>
      </c>
      <c r="D53" s="28">
        <v>0.0</v>
      </c>
      <c r="E53" s="28">
        <v>0.0</v>
      </c>
      <c r="F53" s="28">
        <v>0.0</v>
      </c>
      <c r="G53" s="28">
        <v>0.0</v>
      </c>
      <c r="H53" s="28">
        <v>0.0</v>
      </c>
      <c r="I53" s="28">
        <v>0.0</v>
      </c>
      <c r="J53" s="28">
        <v>0.0</v>
      </c>
      <c r="K53" s="28">
        <v>0.0</v>
      </c>
      <c r="L53" s="28">
        <v>0.0</v>
      </c>
      <c r="M53" s="28">
        <v>0.0</v>
      </c>
      <c r="N53" s="3"/>
      <c r="O53" s="3"/>
    </row>
    <row r="54">
      <c r="A54" s="18" t="s">
        <v>69</v>
      </c>
      <c r="B54" s="28">
        <v>0.0</v>
      </c>
      <c r="C54" s="28">
        <v>0.0</v>
      </c>
      <c r="D54" s="28">
        <v>0.0</v>
      </c>
      <c r="E54" s="28">
        <v>0.0</v>
      </c>
      <c r="F54" s="28">
        <v>0.0</v>
      </c>
      <c r="G54" s="28">
        <v>0.0</v>
      </c>
      <c r="H54" s="28">
        <v>0.0</v>
      </c>
      <c r="I54" s="28">
        <v>0.0</v>
      </c>
      <c r="J54" s="28">
        <v>0.0</v>
      </c>
      <c r="K54" s="28">
        <v>0.0</v>
      </c>
      <c r="L54" s="28">
        <v>0.0</v>
      </c>
      <c r="M54" s="28">
        <v>0.0</v>
      </c>
      <c r="N54" s="3"/>
      <c r="O54" s="3"/>
    </row>
    <row r="55">
      <c r="A55" s="1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3"/>
      <c r="O55" s="3"/>
    </row>
  </sheetData>
  <printOptions gridLines="1" horizontalCentered="1"/>
  <pageMargins bottom="0.25" footer="0.0" header="0.0" left="0.05" right="0.05" top="0.25"/>
  <pageSetup fitToWidth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53.0"/>
    <col customWidth="1" min="2" max="3" width="13.43"/>
    <col customWidth="1" min="4" max="13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  <c r="O2" s="3"/>
      <c r="P2" s="3"/>
      <c r="Q2" s="3"/>
    </row>
    <row r="3">
      <c r="A3" s="4" t="s">
        <v>2</v>
      </c>
      <c r="B3" s="7" t="s">
        <v>3</v>
      </c>
      <c r="C3" s="9" t="s">
        <v>7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3"/>
      <c r="O3" s="3"/>
      <c r="P3" s="3"/>
      <c r="Q3" s="3"/>
    </row>
    <row r="4">
      <c r="A4" s="1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/>
      <c r="O4" s="3"/>
      <c r="P4" s="3"/>
      <c r="Q4" s="3"/>
    </row>
    <row r="5">
      <c r="A5" s="11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"/>
      <c r="O5" s="3"/>
      <c r="P5" s="3"/>
      <c r="Q5" s="3"/>
    </row>
    <row r="6">
      <c r="A6" s="8" t="s">
        <v>20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3"/>
      <c r="O6" s="3"/>
      <c r="P6" s="3"/>
      <c r="Q6" s="3"/>
    </row>
    <row r="7">
      <c r="A7" s="14" t="s">
        <v>21</v>
      </c>
      <c r="B7" s="13">
        <f t="shared" ref="B7:M7" si="1">$B44*B42*30%*B46</f>
        <v>117931.2</v>
      </c>
      <c r="C7" s="13">
        <f t="shared" si="1"/>
        <v>117931.2</v>
      </c>
      <c r="D7" s="13">
        <f t="shared" si="1"/>
        <v>117931.2</v>
      </c>
      <c r="E7" s="13">
        <f t="shared" si="1"/>
        <v>117931.2</v>
      </c>
      <c r="F7" s="13">
        <f t="shared" si="1"/>
        <v>117931.2</v>
      </c>
      <c r="G7" s="13">
        <f t="shared" si="1"/>
        <v>117931.2</v>
      </c>
      <c r="H7" s="13">
        <f t="shared" si="1"/>
        <v>117931.2</v>
      </c>
      <c r="I7" s="13">
        <f t="shared" si="1"/>
        <v>117931.2</v>
      </c>
      <c r="J7" s="13">
        <f t="shared" si="1"/>
        <v>117931.2</v>
      </c>
      <c r="K7" s="13">
        <f t="shared" si="1"/>
        <v>117931.2</v>
      </c>
      <c r="L7" s="13">
        <f t="shared" si="1"/>
        <v>117931.2</v>
      </c>
      <c r="M7" s="13">
        <f t="shared" si="1"/>
        <v>117931.2</v>
      </c>
      <c r="N7" s="3"/>
      <c r="O7" s="3"/>
      <c r="P7" s="3"/>
      <c r="Q7" s="3"/>
    </row>
    <row r="8">
      <c r="A8" s="14" t="s">
        <v>30</v>
      </c>
      <c r="B8" s="13">
        <f t="shared" ref="B8:M8" si="2">8*(B42*1/2)</f>
        <v>3200</v>
      </c>
      <c r="C8" s="13">
        <f t="shared" si="2"/>
        <v>3200</v>
      </c>
      <c r="D8" s="13">
        <f t="shared" si="2"/>
        <v>3200</v>
      </c>
      <c r="E8" s="13">
        <f t="shared" si="2"/>
        <v>3200</v>
      </c>
      <c r="F8" s="13">
        <f t="shared" si="2"/>
        <v>3200</v>
      </c>
      <c r="G8" s="13">
        <f t="shared" si="2"/>
        <v>3200</v>
      </c>
      <c r="H8" s="13">
        <f t="shared" si="2"/>
        <v>3200</v>
      </c>
      <c r="I8" s="13">
        <f t="shared" si="2"/>
        <v>3200</v>
      </c>
      <c r="J8" s="13">
        <f t="shared" si="2"/>
        <v>3200</v>
      </c>
      <c r="K8" s="13">
        <f t="shared" si="2"/>
        <v>3200</v>
      </c>
      <c r="L8" s="13">
        <f t="shared" si="2"/>
        <v>3200</v>
      </c>
      <c r="M8" s="13">
        <f t="shared" si="2"/>
        <v>3200</v>
      </c>
      <c r="N8" s="3"/>
      <c r="O8" s="3"/>
      <c r="P8" s="3"/>
      <c r="Q8" s="3"/>
    </row>
    <row r="9">
      <c r="A9" s="15" t="s">
        <v>24</v>
      </c>
      <c r="B9" s="13">
        <f>1/2*B42*B45</f>
        <v>7996</v>
      </c>
      <c r="C9" s="13">
        <f>1/2*C42*B45</f>
        <v>7996</v>
      </c>
      <c r="D9" s="13">
        <f>1/2*D42*B45</f>
        <v>7996</v>
      </c>
      <c r="E9" s="13">
        <f>1/2*E42*B45</f>
        <v>7996</v>
      </c>
      <c r="F9" s="13">
        <f>1/2*F42*B45</f>
        <v>7996</v>
      </c>
      <c r="G9" s="13">
        <f>1/2*G42*B45</f>
        <v>7996</v>
      </c>
      <c r="H9" s="13">
        <f>1/2*H42*B45</f>
        <v>7996</v>
      </c>
      <c r="I9" s="13">
        <f>1/2*I42*B45</f>
        <v>7996</v>
      </c>
      <c r="J9" s="13">
        <f>1/2*J42*B45</f>
        <v>7996</v>
      </c>
      <c r="K9" s="13">
        <f>1/2*K42*B45</f>
        <v>7996</v>
      </c>
      <c r="L9" s="13">
        <f>1/2*L42*B45</f>
        <v>7996</v>
      </c>
      <c r="M9" s="13">
        <f>1/2*M42*B45</f>
        <v>7996</v>
      </c>
      <c r="N9" s="3"/>
      <c r="O9" s="3"/>
      <c r="P9" s="3"/>
      <c r="Q9" s="3"/>
    </row>
    <row r="10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3"/>
      <c r="O10" s="3"/>
      <c r="P10" s="3"/>
      <c r="Q10" s="3"/>
    </row>
    <row r="11">
      <c r="A11" s="16" t="s">
        <v>26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"/>
      <c r="O11" s="3"/>
      <c r="P11" s="3"/>
      <c r="Q11" s="3"/>
    </row>
    <row r="12">
      <c r="A12" s="16" t="s">
        <v>27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"/>
      <c r="O12" s="3"/>
      <c r="P12" s="3"/>
      <c r="Q12" s="3"/>
    </row>
    <row r="13">
      <c r="A13" s="14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3"/>
      <c r="O13" s="3"/>
      <c r="P13" s="3"/>
      <c r="Q13" s="3"/>
    </row>
    <row r="14">
      <c r="A14" s="1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3"/>
      <c r="O14" s="3"/>
      <c r="P14" s="3"/>
      <c r="Q14" s="3"/>
    </row>
    <row r="15">
      <c r="A15" s="8" t="s">
        <v>34</v>
      </c>
      <c r="B15" s="13">
        <f t="shared" ref="B15:M15" si="3">sum(B7:B13)</f>
        <v>129127.2</v>
      </c>
      <c r="C15" s="13">
        <f t="shared" si="3"/>
        <v>129127.2</v>
      </c>
      <c r="D15" s="13">
        <f t="shared" si="3"/>
        <v>129127.2</v>
      </c>
      <c r="E15" s="13">
        <f t="shared" si="3"/>
        <v>129127.2</v>
      </c>
      <c r="F15" s="13">
        <f t="shared" si="3"/>
        <v>129127.2</v>
      </c>
      <c r="G15" s="13">
        <f t="shared" si="3"/>
        <v>129127.2</v>
      </c>
      <c r="H15" s="13">
        <f t="shared" si="3"/>
        <v>129127.2</v>
      </c>
      <c r="I15" s="13">
        <f t="shared" si="3"/>
        <v>129127.2</v>
      </c>
      <c r="J15" s="13">
        <f t="shared" si="3"/>
        <v>129127.2</v>
      </c>
      <c r="K15" s="13">
        <f t="shared" si="3"/>
        <v>129127.2</v>
      </c>
      <c r="L15" s="13">
        <f t="shared" si="3"/>
        <v>129127.2</v>
      </c>
      <c r="M15" s="13">
        <f t="shared" si="3"/>
        <v>129127.2</v>
      </c>
      <c r="N15" s="3"/>
      <c r="O15" s="3"/>
      <c r="P15" s="3"/>
      <c r="Q15" s="3"/>
    </row>
    <row r="16">
      <c r="A16" s="1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3"/>
      <c r="O16" s="3"/>
      <c r="P16" s="3"/>
      <c r="Q16" s="3"/>
    </row>
    <row r="17">
      <c r="A17" s="1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"/>
      <c r="O17" s="3"/>
      <c r="P17" s="3"/>
      <c r="Q17" s="3"/>
    </row>
    <row r="18">
      <c r="A18" s="21" t="s">
        <v>35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"/>
      <c r="O18" s="3"/>
      <c r="P18" s="3"/>
      <c r="Q18" s="3"/>
    </row>
    <row r="19">
      <c r="A19" s="2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3"/>
      <c r="O19" s="3"/>
      <c r="P19" s="3"/>
      <c r="Q19" s="3"/>
    </row>
    <row r="20">
      <c r="A20" s="14" t="s">
        <v>36</v>
      </c>
      <c r="B20" s="17">
        <v>1000.0</v>
      </c>
      <c r="C20" s="17">
        <v>1000.0</v>
      </c>
      <c r="D20" s="17">
        <v>1000.0</v>
      </c>
      <c r="E20" s="17">
        <v>1000.0</v>
      </c>
      <c r="F20" s="17">
        <v>1000.0</v>
      </c>
      <c r="G20" s="17">
        <v>1000.0</v>
      </c>
      <c r="H20" s="17">
        <v>1000.0</v>
      </c>
      <c r="I20" s="17">
        <v>1000.0</v>
      </c>
      <c r="J20" s="17">
        <v>1000.0</v>
      </c>
      <c r="K20" s="17">
        <v>1000.0</v>
      </c>
      <c r="L20" s="17">
        <v>1000.0</v>
      </c>
      <c r="M20" s="17">
        <v>1000.0</v>
      </c>
      <c r="N20" s="3"/>
      <c r="O20" s="3"/>
      <c r="P20" s="3"/>
      <c r="Q20" s="3"/>
    </row>
    <row r="21">
      <c r="A21" s="14" t="s">
        <v>37</v>
      </c>
      <c r="B21" s="17">
        <v>500000.0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"/>
      <c r="O21" s="3"/>
      <c r="P21" s="3"/>
      <c r="Q21" s="3"/>
    </row>
    <row r="22">
      <c r="A22" s="16" t="s">
        <v>38</v>
      </c>
      <c r="B22" s="13">
        <v>1000.0</v>
      </c>
      <c r="C22" s="13">
        <v>1000.0</v>
      </c>
      <c r="D22" s="13">
        <v>1000.0</v>
      </c>
      <c r="E22" s="13">
        <v>1000.0</v>
      </c>
      <c r="F22" s="13">
        <v>1000.0</v>
      </c>
      <c r="G22" s="13">
        <v>1000.0</v>
      </c>
      <c r="H22" s="13">
        <v>1000.0</v>
      </c>
      <c r="I22" s="13">
        <v>1000.0</v>
      </c>
      <c r="J22" s="13">
        <v>1000.0</v>
      </c>
      <c r="K22" s="13">
        <v>1000.0</v>
      </c>
      <c r="L22" s="13">
        <v>1000.0</v>
      </c>
      <c r="M22" s="13">
        <v>1000.0</v>
      </c>
      <c r="N22" s="3"/>
      <c r="O22" s="3"/>
      <c r="P22" s="3"/>
      <c r="Q22" s="3"/>
    </row>
    <row r="23">
      <c r="A23" s="14" t="s">
        <v>47</v>
      </c>
      <c r="B23" s="17">
        <v>50000.0</v>
      </c>
      <c r="C23" s="17">
        <v>50000.0</v>
      </c>
      <c r="D23" s="17">
        <v>50000.0</v>
      </c>
      <c r="E23" s="17">
        <v>50000.0</v>
      </c>
      <c r="F23" s="17">
        <v>50000.0</v>
      </c>
      <c r="G23" s="17">
        <v>100000.0</v>
      </c>
      <c r="H23" s="17">
        <v>50000.0</v>
      </c>
      <c r="I23" s="17">
        <v>50000.0</v>
      </c>
      <c r="J23" s="17">
        <v>50000.0</v>
      </c>
      <c r="K23" s="17">
        <v>50000.0</v>
      </c>
      <c r="L23" s="17">
        <v>50000.0</v>
      </c>
      <c r="M23" s="17">
        <v>100000.0</v>
      </c>
      <c r="N23" s="3"/>
      <c r="O23" s="3"/>
      <c r="P23" s="3"/>
      <c r="Q23" s="3"/>
    </row>
    <row r="24">
      <c r="A24" s="14" t="s">
        <v>56</v>
      </c>
      <c r="B24" s="17">
        <v>10000.0</v>
      </c>
      <c r="C24" s="17">
        <v>10000.0</v>
      </c>
      <c r="D24" s="17">
        <v>10000.0</v>
      </c>
      <c r="E24" s="17">
        <v>10000.0</v>
      </c>
      <c r="F24" s="17">
        <v>10000.0</v>
      </c>
      <c r="G24" s="17">
        <v>10000.0</v>
      </c>
      <c r="H24" s="17">
        <v>10000.0</v>
      </c>
      <c r="I24" s="17">
        <v>10000.0</v>
      </c>
      <c r="J24" s="17">
        <v>10000.0</v>
      </c>
      <c r="K24" s="17">
        <v>10000.0</v>
      </c>
      <c r="L24" s="17">
        <v>10000.0</v>
      </c>
      <c r="M24" s="17">
        <v>10000.0</v>
      </c>
      <c r="N24" s="3"/>
      <c r="O24" s="3"/>
      <c r="P24" s="3"/>
      <c r="Q24" s="3"/>
    </row>
    <row r="25">
      <c r="A25" s="16" t="s">
        <v>51</v>
      </c>
      <c r="B25" s="13">
        <f t="shared" ref="B25:M25" si="4">3000*B43</f>
        <v>30000</v>
      </c>
      <c r="C25" s="13">
        <f t="shared" si="4"/>
        <v>30000</v>
      </c>
      <c r="D25" s="13">
        <f t="shared" si="4"/>
        <v>30000</v>
      </c>
      <c r="E25" s="13">
        <f t="shared" si="4"/>
        <v>30000</v>
      </c>
      <c r="F25" s="13">
        <f t="shared" si="4"/>
        <v>30000</v>
      </c>
      <c r="G25" s="13">
        <f t="shared" si="4"/>
        <v>30000</v>
      </c>
      <c r="H25" s="13">
        <f t="shared" si="4"/>
        <v>30000</v>
      </c>
      <c r="I25" s="13">
        <f t="shared" si="4"/>
        <v>30000</v>
      </c>
      <c r="J25" s="13">
        <f t="shared" si="4"/>
        <v>30000</v>
      </c>
      <c r="K25" s="13">
        <f t="shared" si="4"/>
        <v>30000</v>
      </c>
      <c r="L25" s="13">
        <f t="shared" si="4"/>
        <v>30000</v>
      </c>
      <c r="M25" s="13">
        <f t="shared" si="4"/>
        <v>30000</v>
      </c>
      <c r="N25" s="3"/>
      <c r="O25" s="3"/>
      <c r="P25" s="3"/>
      <c r="Q25" s="3"/>
    </row>
    <row r="26">
      <c r="A26" s="16" t="s">
        <v>52</v>
      </c>
      <c r="B26" s="13">
        <f t="shared" ref="B26:L26" si="5">17%*B25</f>
        <v>5100</v>
      </c>
      <c r="C26" s="13">
        <f t="shared" si="5"/>
        <v>5100</v>
      </c>
      <c r="D26" s="13">
        <f t="shared" si="5"/>
        <v>5100</v>
      </c>
      <c r="E26" s="13">
        <f t="shared" si="5"/>
        <v>5100</v>
      </c>
      <c r="F26" s="13">
        <f t="shared" si="5"/>
        <v>5100</v>
      </c>
      <c r="G26" s="13">
        <f t="shared" si="5"/>
        <v>5100</v>
      </c>
      <c r="H26" s="13">
        <f t="shared" si="5"/>
        <v>5100</v>
      </c>
      <c r="I26" s="13">
        <f t="shared" si="5"/>
        <v>5100</v>
      </c>
      <c r="J26" s="13">
        <f t="shared" si="5"/>
        <v>5100</v>
      </c>
      <c r="K26" s="13">
        <f t="shared" si="5"/>
        <v>5100</v>
      </c>
      <c r="L26" s="13">
        <f t="shared" si="5"/>
        <v>5100</v>
      </c>
      <c r="M26" s="13">
        <f>17%*M25*2</f>
        <v>10200</v>
      </c>
      <c r="N26" s="3"/>
      <c r="O26" s="3"/>
      <c r="P26" s="3"/>
      <c r="Q26" s="3"/>
    </row>
    <row r="27">
      <c r="A27" s="16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3"/>
      <c r="O27" s="3"/>
      <c r="P27" s="3"/>
      <c r="Q27" s="3"/>
    </row>
    <row r="28">
      <c r="A28" s="16" t="s">
        <v>59</v>
      </c>
      <c r="B28" s="13">
        <f t="shared" ref="B28:M28" si="6">100*B43</f>
        <v>1000</v>
      </c>
      <c r="C28" s="13">
        <f t="shared" si="6"/>
        <v>1000</v>
      </c>
      <c r="D28" s="13">
        <f t="shared" si="6"/>
        <v>1000</v>
      </c>
      <c r="E28" s="13">
        <f t="shared" si="6"/>
        <v>1000</v>
      </c>
      <c r="F28" s="13">
        <f t="shared" si="6"/>
        <v>1000</v>
      </c>
      <c r="G28" s="13">
        <f t="shared" si="6"/>
        <v>1000</v>
      </c>
      <c r="H28" s="13">
        <f t="shared" si="6"/>
        <v>1000</v>
      </c>
      <c r="I28" s="13">
        <f t="shared" si="6"/>
        <v>1000</v>
      </c>
      <c r="J28" s="13">
        <f t="shared" si="6"/>
        <v>1000</v>
      </c>
      <c r="K28" s="13">
        <f t="shared" si="6"/>
        <v>1000</v>
      </c>
      <c r="L28" s="13">
        <f t="shared" si="6"/>
        <v>1000</v>
      </c>
      <c r="M28" s="13">
        <f t="shared" si="6"/>
        <v>1000</v>
      </c>
      <c r="N28" s="3"/>
      <c r="O28" s="3"/>
      <c r="P28" s="3"/>
      <c r="Q28" s="3"/>
    </row>
    <row r="29">
      <c r="A29" s="16" t="s">
        <v>53</v>
      </c>
      <c r="B29" s="13">
        <v>4000.0</v>
      </c>
      <c r="C29" s="13">
        <v>4000.0</v>
      </c>
      <c r="D29" s="13">
        <v>4000.0</v>
      </c>
      <c r="E29" s="13">
        <v>4000.0</v>
      </c>
      <c r="F29" s="13">
        <v>4000.0</v>
      </c>
      <c r="G29" s="13">
        <v>4000.0</v>
      </c>
      <c r="H29" s="13">
        <v>4000.0</v>
      </c>
      <c r="I29" s="13">
        <v>4000.0</v>
      </c>
      <c r="J29" s="13">
        <v>4000.0</v>
      </c>
      <c r="K29" s="13">
        <v>4000.0</v>
      </c>
      <c r="L29" s="13">
        <v>4000.0</v>
      </c>
      <c r="M29" s="13">
        <v>4000.0</v>
      </c>
      <c r="N29" s="3"/>
      <c r="O29" s="3"/>
      <c r="P29" s="3"/>
      <c r="Q29" s="3"/>
    </row>
    <row r="30">
      <c r="A30" s="16" t="s">
        <v>60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3"/>
      <c r="O30" s="3"/>
      <c r="P30" s="3"/>
      <c r="Q30" s="3"/>
    </row>
    <row r="31">
      <c r="A31" s="16" t="s">
        <v>61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3"/>
      <c r="O31" s="3"/>
      <c r="P31" s="3"/>
      <c r="Q31" s="3"/>
    </row>
    <row r="32">
      <c r="A32" s="18" t="s">
        <v>64</v>
      </c>
      <c r="B32" s="13">
        <f t="shared" ref="B32:M32" si="7">3%*(B7+B9)</f>
        <v>3777.816</v>
      </c>
      <c r="C32" s="13">
        <f t="shared" si="7"/>
        <v>3777.816</v>
      </c>
      <c r="D32" s="13">
        <f t="shared" si="7"/>
        <v>3777.816</v>
      </c>
      <c r="E32" s="13">
        <f t="shared" si="7"/>
        <v>3777.816</v>
      </c>
      <c r="F32" s="13">
        <f t="shared" si="7"/>
        <v>3777.816</v>
      </c>
      <c r="G32" s="13">
        <f t="shared" si="7"/>
        <v>3777.816</v>
      </c>
      <c r="H32" s="13">
        <f t="shared" si="7"/>
        <v>3777.816</v>
      </c>
      <c r="I32" s="13">
        <f t="shared" si="7"/>
        <v>3777.816</v>
      </c>
      <c r="J32" s="13">
        <f t="shared" si="7"/>
        <v>3777.816</v>
      </c>
      <c r="K32" s="13">
        <f t="shared" si="7"/>
        <v>3777.816</v>
      </c>
      <c r="L32" s="13">
        <f t="shared" si="7"/>
        <v>3777.816</v>
      </c>
      <c r="M32" s="13">
        <f t="shared" si="7"/>
        <v>3777.816</v>
      </c>
      <c r="N32" s="3"/>
      <c r="O32" s="3"/>
      <c r="P32" s="3"/>
      <c r="Q32" s="3"/>
    </row>
    <row r="33">
      <c r="A33" s="18" t="s">
        <v>68</v>
      </c>
      <c r="B33" s="17">
        <f t="shared" ref="B33:M33" si="8">3%*B7</f>
        <v>3537.936</v>
      </c>
      <c r="C33" s="17">
        <f t="shared" si="8"/>
        <v>3537.936</v>
      </c>
      <c r="D33" s="17">
        <f t="shared" si="8"/>
        <v>3537.936</v>
      </c>
      <c r="E33" s="17">
        <f t="shared" si="8"/>
        <v>3537.936</v>
      </c>
      <c r="F33" s="17">
        <f t="shared" si="8"/>
        <v>3537.936</v>
      </c>
      <c r="G33" s="17">
        <f t="shared" si="8"/>
        <v>3537.936</v>
      </c>
      <c r="H33" s="17">
        <f t="shared" si="8"/>
        <v>3537.936</v>
      </c>
      <c r="I33" s="17">
        <f t="shared" si="8"/>
        <v>3537.936</v>
      </c>
      <c r="J33" s="17">
        <f t="shared" si="8"/>
        <v>3537.936</v>
      </c>
      <c r="K33" s="17">
        <f t="shared" si="8"/>
        <v>3537.936</v>
      </c>
      <c r="L33" s="17">
        <f t="shared" si="8"/>
        <v>3537.936</v>
      </c>
      <c r="M33" s="17">
        <f t="shared" si="8"/>
        <v>3537.936</v>
      </c>
      <c r="N33" s="3"/>
      <c r="O33" s="3"/>
      <c r="P33" s="3"/>
      <c r="Q33" s="3"/>
    </row>
    <row r="34">
      <c r="A34" s="10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3"/>
      <c r="O34" s="3"/>
      <c r="P34" s="3"/>
      <c r="Q34" s="3"/>
    </row>
    <row r="35">
      <c r="A35" s="8" t="s">
        <v>54</v>
      </c>
      <c r="B35" s="13">
        <f t="shared" ref="B35:M35" si="9">B15</f>
        <v>129127.2</v>
      </c>
      <c r="C35" s="13">
        <f t="shared" si="9"/>
        <v>129127.2</v>
      </c>
      <c r="D35" s="13">
        <f t="shared" si="9"/>
        <v>129127.2</v>
      </c>
      <c r="E35" s="13">
        <f t="shared" si="9"/>
        <v>129127.2</v>
      </c>
      <c r="F35" s="13">
        <f t="shared" si="9"/>
        <v>129127.2</v>
      </c>
      <c r="G35" s="13">
        <f t="shared" si="9"/>
        <v>129127.2</v>
      </c>
      <c r="H35" s="13">
        <f t="shared" si="9"/>
        <v>129127.2</v>
      </c>
      <c r="I35" s="13">
        <f t="shared" si="9"/>
        <v>129127.2</v>
      </c>
      <c r="J35" s="13">
        <f t="shared" si="9"/>
        <v>129127.2</v>
      </c>
      <c r="K35" s="13">
        <f t="shared" si="9"/>
        <v>129127.2</v>
      </c>
      <c r="L35" s="13">
        <f t="shared" si="9"/>
        <v>129127.2</v>
      </c>
      <c r="M35" s="13">
        <f t="shared" si="9"/>
        <v>129127.2</v>
      </c>
      <c r="N35" s="3"/>
      <c r="O35" s="3"/>
      <c r="P35" s="3"/>
      <c r="Q35" s="3"/>
    </row>
    <row r="36">
      <c r="A36" s="8" t="s">
        <v>55</v>
      </c>
      <c r="B36" s="13">
        <f t="shared" ref="B36:M36" si="10">sum(B20:B31)</f>
        <v>602100</v>
      </c>
      <c r="C36" s="13">
        <f t="shared" si="10"/>
        <v>102100</v>
      </c>
      <c r="D36" s="13">
        <f t="shared" si="10"/>
        <v>102100</v>
      </c>
      <c r="E36" s="13">
        <f t="shared" si="10"/>
        <v>102100</v>
      </c>
      <c r="F36" s="13">
        <f t="shared" si="10"/>
        <v>102100</v>
      </c>
      <c r="G36" s="13">
        <f t="shared" si="10"/>
        <v>152100</v>
      </c>
      <c r="H36" s="13">
        <f t="shared" si="10"/>
        <v>102100</v>
      </c>
      <c r="I36" s="13">
        <f t="shared" si="10"/>
        <v>102100</v>
      </c>
      <c r="J36" s="13">
        <f t="shared" si="10"/>
        <v>102100</v>
      </c>
      <c r="K36" s="13">
        <f t="shared" si="10"/>
        <v>102100</v>
      </c>
      <c r="L36" s="13">
        <f t="shared" si="10"/>
        <v>102100</v>
      </c>
      <c r="M36" s="13">
        <f t="shared" si="10"/>
        <v>157200</v>
      </c>
      <c r="N36" s="3"/>
      <c r="O36" s="3"/>
      <c r="P36" s="3"/>
      <c r="Q36" s="3"/>
    </row>
    <row r="37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3"/>
      <c r="O37" s="3"/>
      <c r="P37" s="3"/>
      <c r="Q37" s="3"/>
    </row>
    <row r="38">
      <c r="A38" s="8" t="s">
        <v>58</v>
      </c>
      <c r="B38" s="13">
        <f>'CC yr 2'!M45</f>
        <v>-24882</v>
      </c>
      <c r="C38" s="13">
        <f t="shared" ref="C38:M38" si="11">B39</f>
        <v>-497854.8</v>
      </c>
      <c r="D38" s="13">
        <f t="shared" si="11"/>
        <v>-470827.6</v>
      </c>
      <c r="E38" s="13">
        <f t="shared" si="11"/>
        <v>-443800.4</v>
      </c>
      <c r="F38" s="13">
        <f t="shared" si="11"/>
        <v>-416773.2</v>
      </c>
      <c r="G38" s="13">
        <f t="shared" si="11"/>
        <v>-389746</v>
      </c>
      <c r="H38" s="13">
        <f t="shared" si="11"/>
        <v>-412718.8</v>
      </c>
      <c r="I38" s="13">
        <f t="shared" si="11"/>
        <v>-385691.6</v>
      </c>
      <c r="J38" s="13">
        <f t="shared" si="11"/>
        <v>-358664.4</v>
      </c>
      <c r="K38" s="13">
        <f t="shared" si="11"/>
        <v>-331637.2</v>
      </c>
      <c r="L38" s="13">
        <f t="shared" si="11"/>
        <v>-304610</v>
      </c>
      <c r="M38" s="13">
        <f t="shared" si="11"/>
        <v>-277582.8</v>
      </c>
      <c r="N38" s="3"/>
      <c r="O38" s="3"/>
      <c r="P38" s="3"/>
      <c r="Q38" s="3"/>
    </row>
    <row r="39">
      <c r="A39" s="8" t="s">
        <v>62</v>
      </c>
      <c r="B39" s="13">
        <f t="shared" ref="B39:D39" si="12">B38+(B35-B36)</f>
        <v>-497854.8</v>
      </c>
      <c r="C39" s="13">
        <f t="shared" si="12"/>
        <v>-470827.6</v>
      </c>
      <c r="D39" s="13">
        <f t="shared" si="12"/>
        <v>-443800.4</v>
      </c>
      <c r="E39" s="13">
        <f t="shared" ref="E39:F39" si="13">E38+E35-E36</f>
        <v>-416773.2</v>
      </c>
      <c r="F39" s="13">
        <f t="shared" si="13"/>
        <v>-389746</v>
      </c>
      <c r="G39" s="13">
        <f t="shared" ref="G39:M39" si="14">G38+(G35-G36)</f>
        <v>-412718.8</v>
      </c>
      <c r="H39" s="13">
        <f t="shared" si="14"/>
        <v>-385691.6</v>
      </c>
      <c r="I39" s="13">
        <f t="shared" si="14"/>
        <v>-358664.4</v>
      </c>
      <c r="J39" s="13">
        <f t="shared" si="14"/>
        <v>-331637.2</v>
      </c>
      <c r="K39" s="13">
        <f t="shared" si="14"/>
        <v>-304610</v>
      </c>
      <c r="L39" s="13">
        <f t="shared" si="14"/>
        <v>-277582.8</v>
      </c>
      <c r="M39" s="13">
        <f t="shared" si="14"/>
        <v>-305655.6</v>
      </c>
      <c r="N39" s="3"/>
      <c r="O39" s="3"/>
      <c r="P39" s="3"/>
      <c r="Q39" s="3"/>
    </row>
    <row r="40">
      <c r="A40" s="10"/>
      <c r="B40" s="19"/>
      <c r="C40" s="19"/>
      <c r="D40" s="19"/>
      <c r="E40" s="19"/>
      <c r="F40" s="19"/>
      <c r="G40" s="19"/>
      <c r="H40" s="19"/>
      <c r="I40" s="30"/>
      <c r="J40" s="30"/>
      <c r="K40" s="30"/>
      <c r="L40" s="30"/>
      <c r="M40" s="30"/>
      <c r="N40" s="3"/>
      <c r="O40" s="3"/>
      <c r="P40" s="3"/>
      <c r="Q40" s="3"/>
    </row>
    <row r="41">
      <c r="A41" s="24" t="s">
        <v>70</v>
      </c>
      <c r="B41" s="25"/>
      <c r="C41" s="25"/>
      <c r="D41" s="25"/>
      <c r="E41" s="25"/>
      <c r="F41" s="25"/>
      <c r="G41" s="25"/>
      <c r="H41" s="25"/>
      <c r="I41" s="26"/>
      <c r="J41" s="26"/>
      <c r="K41" s="26"/>
      <c r="L41" s="26"/>
      <c r="M41" s="26"/>
      <c r="N41" s="3"/>
      <c r="O41" s="3"/>
      <c r="P41" s="3"/>
      <c r="Q41" s="3"/>
    </row>
    <row r="42">
      <c r="A42" s="18" t="s">
        <v>65</v>
      </c>
      <c r="B42" s="36">
        <v>800.0</v>
      </c>
      <c r="C42" s="36">
        <v>800.0</v>
      </c>
      <c r="D42" s="36">
        <v>800.0</v>
      </c>
      <c r="E42" s="36">
        <v>800.0</v>
      </c>
      <c r="F42" s="36">
        <v>800.0</v>
      </c>
      <c r="G42" s="36">
        <v>800.0</v>
      </c>
      <c r="H42" s="36">
        <v>800.0</v>
      </c>
      <c r="I42" s="36">
        <v>800.0</v>
      </c>
      <c r="J42" s="36">
        <v>800.0</v>
      </c>
      <c r="K42" s="36">
        <v>800.0</v>
      </c>
      <c r="L42" s="36">
        <v>800.0</v>
      </c>
      <c r="M42" s="36">
        <v>800.0</v>
      </c>
      <c r="N42" s="3"/>
      <c r="O42" s="3"/>
      <c r="P42" s="3"/>
      <c r="Q42" s="3"/>
    </row>
    <row r="43">
      <c r="A43" s="18" t="s">
        <v>66</v>
      </c>
      <c r="B43" s="36">
        <v>10.0</v>
      </c>
      <c r="C43" s="36">
        <v>10.0</v>
      </c>
      <c r="D43" s="36">
        <v>10.0</v>
      </c>
      <c r="E43" s="36">
        <v>10.0</v>
      </c>
      <c r="F43" s="36">
        <v>10.0</v>
      </c>
      <c r="G43" s="36">
        <v>10.0</v>
      </c>
      <c r="H43" s="36">
        <v>10.0</v>
      </c>
      <c r="I43" s="36">
        <v>10.0</v>
      </c>
      <c r="J43" s="36">
        <v>10.0</v>
      </c>
      <c r="K43" s="36">
        <v>10.0</v>
      </c>
      <c r="L43" s="36">
        <v>10.0</v>
      </c>
      <c r="M43" s="36">
        <v>10.0</v>
      </c>
      <c r="N43" s="3"/>
      <c r="O43" s="3"/>
      <c r="P43" s="3"/>
      <c r="Q43" s="3"/>
    </row>
    <row r="44">
      <c r="A44" s="18" t="s">
        <v>67</v>
      </c>
      <c r="B44" s="17">
        <v>245.69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3"/>
      <c r="O44" s="3"/>
      <c r="P44" s="3"/>
      <c r="Q44" s="3"/>
    </row>
    <row r="45">
      <c r="A45" s="18" t="s">
        <v>69</v>
      </c>
      <c r="B45" s="17">
        <v>19.99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3"/>
      <c r="O45" s="3"/>
      <c r="P45" s="3"/>
      <c r="Q45" s="3"/>
    </row>
    <row r="46">
      <c r="A46" s="39" t="s">
        <v>73</v>
      </c>
      <c r="B46" s="40">
        <v>2.0</v>
      </c>
      <c r="C46" s="40">
        <v>2.0</v>
      </c>
      <c r="D46" s="40">
        <v>2.0</v>
      </c>
      <c r="E46" s="40">
        <v>2.0</v>
      </c>
      <c r="F46" s="40">
        <v>2.0</v>
      </c>
      <c r="G46" s="40">
        <v>2.0</v>
      </c>
      <c r="H46" s="40">
        <v>2.0</v>
      </c>
      <c r="I46" s="40">
        <v>2.0</v>
      </c>
      <c r="J46" s="40">
        <v>2.0</v>
      </c>
      <c r="K46" s="40">
        <v>2.0</v>
      </c>
      <c r="L46" s="40">
        <v>2.0</v>
      </c>
      <c r="M46" s="40">
        <v>2.0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</sheetData>
  <printOptions gridLines="1" horizontalCentered="1"/>
  <pageMargins bottom="0.25" footer="0.0" header="0.0" left="0.1" right="0.1" top="0.2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9.0"/>
    <col customWidth="1" min="2" max="8" width="14.29"/>
    <col customWidth="1" min="9" max="13" width="15.29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"/>
      <c r="AB1" s="3"/>
      <c r="AC1" s="3"/>
      <c r="AD1" s="3"/>
    </row>
    <row r="2">
      <c r="A2" s="4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"/>
      <c r="AB2" s="3"/>
      <c r="AC2" s="3"/>
      <c r="AD2" s="3"/>
    </row>
    <row r="3">
      <c r="A3" s="4" t="s">
        <v>72</v>
      </c>
      <c r="B3" s="7" t="s">
        <v>3</v>
      </c>
      <c r="C3" s="9" t="s">
        <v>7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"/>
      <c r="AB3" s="3"/>
      <c r="AC3" s="3"/>
      <c r="AD3" s="3"/>
    </row>
    <row r="4">
      <c r="A4" s="1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"/>
      <c r="AB4" s="3"/>
      <c r="AC4" s="3"/>
      <c r="AD4" s="3"/>
    </row>
    <row r="5">
      <c r="A5" s="11" t="s">
        <v>19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"/>
      <c r="AB5" s="3"/>
      <c r="AC5" s="3"/>
      <c r="AD5" s="3"/>
    </row>
    <row r="6">
      <c r="A6" s="8" t="s">
        <v>20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"/>
      <c r="AB6" s="3"/>
      <c r="AC6" s="3"/>
      <c r="AD6" s="3"/>
    </row>
    <row r="7">
      <c r="A7" s="14" t="s">
        <v>21</v>
      </c>
      <c r="B7" s="13">
        <f t="shared" ref="B7:M7" si="1">$B45*B43*30%*B48</f>
        <v>442242</v>
      </c>
      <c r="C7" s="13">
        <f t="shared" si="1"/>
        <v>442242</v>
      </c>
      <c r="D7" s="13">
        <f t="shared" si="1"/>
        <v>442242</v>
      </c>
      <c r="E7" s="13">
        <f t="shared" si="1"/>
        <v>442242</v>
      </c>
      <c r="F7" s="13">
        <f t="shared" si="1"/>
        <v>442242</v>
      </c>
      <c r="G7" s="13">
        <f t="shared" si="1"/>
        <v>442242</v>
      </c>
      <c r="H7" s="13">
        <f t="shared" si="1"/>
        <v>442242</v>
      </c>
      <c r="I7" s="13">
        <f t="shared" si="1"/>
        <v>442242</v>
      </c>
      <c r="J7" s="13">
        <f t="shared" si="1"/>
        <v>442242</v>
      </c>
      <c r="K7" s="13">
        <f t="shared" si="1"/>
        <v>442242</v>
      </c>
      <c r="L7" s="13">
        <f t="shared" si="1"/>
        <v>442242</v>
      </c>
      <c r="M7" s="13">
        <f t="shared" si="1"/>
        <v>442242</v>
      </c>
      <c r="N7" s="13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"/>
      <c r="AB7" s="3"/>
      <c r="AC7" s="3"/>
      <c r="AD7" s="3"/>
    </row>
    <row r="8">
      <c r="A8" s="14" t="s">
        <v>74</v>
      </c>
      <c r="B8" s="13">
        <f t="shared" ref="B8:M8" si="2">10*(B43*1/2)</f>
        <v>7500</v>
      </c>
      <c r="C8" s="13">
        <f t="shared" si="2"/>
        <v>7500</v>
      </c>
      <c r="D8" s="13">
        <f t="shared" si="2"/>
        <v>7500</v>
      </c>
      <c r="E8" s="13">
        <f t="shared" si="2"/>
        <v>7500</v>
      </c>
      <c r="F8" s="13">
        <f t="shared" si="2"/>
        <v>7500</v>
      </c>
      <c r="G8" s="13">
        <f t="shared" si="2"/>
        <v>7500</v>
      </c>
      <c r="H8" s="13">
        <f t="shared" si="2"/>
        <v>7500</v>
      </c>
      <c r="I8" s="13">
        <f t="shared" si="2"/>
        <v>7500</v>
      </c>
      <c r="J8" s="13">
        <f t="shared" si="2"/>
        <v>7500</v>
      </c>
      <c r="K8" s="13">
        <f t="shared" si="2"/>
        <v>7500</v>
      </c>
      <c r="L8" s="13">
        <f t="shared" si="2"/>
        <v>7500</v>
      </c>
      <c r="M8" s="13">
        <f t="shared" si="2"/>
        <v>7500</v>
      </c>
      <c r="N8" s="13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"/>
      <c r="AB8" s="3"/>
      <c r="AC8" s="3"/>
      <c r="AD8" s="3"/>
    </row>
    <row r="9">
      <c r="A9" s="15" t="s">
        <v>24</v>
      </c>
      <c r="B9" s="13">
        <f>(1/2*B43)*B46</f>
        <v>14992.5</v>
      </c>
      <c r="C9" s="13">
        <f>(1/2*C43)*B46</f>
        <v>14992.5</v>
      </c>
      <c r="D9" s="13">
        <f>(1/2*D43)*B46</f>
        <v>14992.5</v>
      </c>
      <c r="E9" s="13">
        <f>(1/2*E43)*B46</f>
        <v>14992.5</v>
      </c>
      <c r="F9" s="13">
        <f>(1/2*F43)*B46</f>
        <v>14992.5</v>
      </c>
      <c r="G9" s="13">
        <f>(1/2*G43)*B46</f>
        <v>14992.5</v>
      </c>
      <c r="H9" s="13">
        <f>(1/2*H43)*B46</f>
        <v>14992.5</v>
      </c>
      <c r="I9" s="13">
        <f>(1/2*I43)*B46</f>
        <v>14992.5</v>
      </c>
      <c r="J9" s="13">
        <f>(1/2*J43)*B46</f>
        <v>14992.5</v>
      </c>
      <c r="K9" s="13">
        <f>(1/2*K43)*B46</f>
        <v>14992.5</v>
      </c>
      <c r="L9" s="13">
        <f>(1/2*L43)*B46</f>
        <v>14992.5</v>
      </c>
      <c r="M9" s="13">
        <f>(1/2*M43)*B46</f>
        <v>14992.5</v>
      </c>
      <c r="N9" s="13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"/>
      <c r="AB9" s="3"/>
      <c r="AC9" s="3"/>
      <c r="AD9" s="3"/>
    </row>
    <row r="10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"/>
      <c r="AB10" s="3"/>
      <c r="AC10" s="3"/>
      <c r="AD10" s="3"/>
    </row>
    <row r="11">
      <c r="A11" s="16" t="s">
        <v>26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"/>
      <c r="AB11" s="3"/>
      <c r="AC11" s="3"/>
      <c r="AD11" s="3"/>
    </row>
    <row r="12">
      <c r="A12" s="16" t="s">
        <v>27</v>
      </c>
      <c r="B12" s="13">
        <v>0.0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"/>
      <c r="AB12" s="3"/>
      <c r="AC12" s="3"/>
      <c r="AD12" s="3"/>
    </row>
    <row r="13">
      <c r="A13" s="14" t="s">
        <v>39</v>
      </c>
      <c r="B13" s="13">
        <v>0.0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"/>
      <c r="AB13" s="3"/>
      <c r="AC13" s="3"/>
      <c r="AD13" s="3"/>
    </row>
    <row r="14">
      <c r="A14" s="10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"/>
      <c r="AB14" s="3"/>
      <c r="AC14" s="3"/>
      <c r="AD14" s="3"/>
    </row>
    <row r="15">
      <c r="A15" s="8" t="s">
        <v>34</v>
      </c>
      <c r="B15" s="13">
        <f t="shared" ref="B15:M15" si="3">sum(B7:B13)</f>
        <v>464734.5</v>
      </c>
      <c r="C15" s="13">
        <f t="shared" si="3"/>
        <v>464734.5</v>
      </c>
      <c r="D15" s="13">
        <f t="shared" si="3"/>
        <v>464734.5</v>
      </c>
      <c r="E15" s="13">
        <f t="shared" si="3"/>
        <v>464734.5</v>
      </c>
      <c r="F15" s="13">
        <f t="shared" si="3"/>
        <v>464734.5</v>
      </c>
      <c r="G15" s="13">
        <f t="shared" si="3"/>
        <v>464734.5</v>
      </c>
      <c r="H15" s="13">
        <f t="shared" si="3"/>
        <v>464734.5</v>
      </c>
      <c r="I15" s="13">
        <f t="shared" si="3"/>
        <v>464734.5</v>
      </c>
      <c r="J15" s="13">
        <f t="shared" si="3"/>
        <v>464734.5</v>
      </c>
      <c r="K15" s="13">
        <f t="shared" si="3"/>
        <v>464734.5</v>
      </c>
      <c r="L15" s="13">
        <f t="shared" si="3"/>
        <v>464734.5</v>
      </c>
      <c r="M15" s="13">
        <f t="shared" si="3"/>
        <v>464734.5</v>
      </c>
      <c r="N15" s="13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"/>
      <c r="AB15" s="3"/>
      <c r="AC15" s="3"/>
      <c r="AD15" s="3"/>
    </row>
    <row r="16">
      <c r="A16" s="10"/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"/>
      <c r="AB16" s="3"/>
      <c r="AC16" s="3"/>
      <c r="AD16" s="3"/>
    </row>
    <row r="17">
      <c r="A17" s="1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"/>
      <c r="AB17" s="3"/>
      <c r="AC17" s="3"/>
      <c r="AD17" s="3"/>
    </row>
    <row r="18">
      <c r="A18" s="21" t="s">
        <v>35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"/>
      <c r="AB18" s="3"/>
      <c r="AC18" s="3"/>
      <c r="AD18" s="3"/>
    </row>
    <row r="19">
      <c r="A19" s="2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"/>
      <c r="AB19" s="3"/>
      <c r="AC19" s="3"/>
      <c r="AD19" s="3"/>
    </row>
    <row r="20">
      <c r="A20" s="14" t="s">
        <v>36</v>
      </c>
      <c r="B20" s="17">
        <v>30000.0</v>
      </c>
      <c r="C20" s="17">
        <v>4000.0</v>
      </c>
      <c r="D20" s="17">
        <v>4000.0</v>
      </c>
      <c r="E20" s="17">
        <v>4000.0</v>
      </c>
      <c r="F20" s="17">
        <v>4000.0</v>
      </c>
      <c r="G20" s="17">
        <v>4000.0</v>
      </c>
      <c r="H20" s="17">
        <v>4000.0</v>
      </c>
      <c r="I20" s="17">
        <v>4000.0</v>
      </c>
      <c r="J20" s="17">
        <v>4000.0</v>
      </c>
      <c r="K20" s="17">
        <v>4000.0</v>
      </c>
      <c r="L20" s="17">
        <v>4000.0</v>
      </c>
      <c r="M20" s="17">
        <v>4000.0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"/>
      <c r="AB20" s="3"/>
      <c r="AC20" s="3"/>
      <c r="AD20" s="3"/>
    </row>
    <row r="21">
      <c r="A21" s="16" t="s">
        <v>38</v>
      </c>
      <c r="B21" s="13"/>
      <c r="C21" s="13"/>
      <c r="D21" s="13"/>
      <c r="E21" s="17">
        <v>7000.0</v>
      </c>
      <c r="F21" s="17">
        <v>7000.0</v>
      </c>
      <c r="G21" s="17">
        <v>7000.0</v>
      </c>
      <c r="H21" s="17">
        <v>7000.0</v>
      </c>
      <c r="I21" s="17">
        <v>7000.0</v>
      </c>
      <c r="J21" s="17">
        <v>7000.0</v>
      </c>
      <c r="K21" s="17">
        <v>7000.0</v>
      </c>
      <c r="L21" s="17">
        <v>7000.0</v>
      </c>
      <c r="M21" s="17">
        <v>7000.0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"/>
      <c r="AB21" s="3"/>
      <c r="AC21" s="3"/>
      <c r="AD21" s="3"/>
    </row>
    <row r="22">
      <c r="A22" s="14" t="s">
        <v>84</v>
      </c>
      <c r="B22" s="17">
        <v>21000.0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"/>
      <c r="AB22" s="3"/>
      <c r="AC22" s="3"/>
      <c r="AD22" s="3"/>
    </row>
    <row r="23">
      <c r="A23" s="14" t="s">
        <v>47</v>
      </c>
      <c r="B23" s="17">
        <v>100000.0</v>
      </c>
      <c r="C23" s="17">
        <v>100000.0</v>
      </c>
      <c r="D23" s="17">
        <v>100000.0</v>
      </c>
      <c r="E23" s="17">
        <v>100000.0</v>
      </c>
      <c r="F23" s="17">
        <v>100000.0</v>
      </c>
      <c r="G23" s="17">
        <v>100000.0</v>
      </c>
      <c r="H23" s="17">
        <v>100000.0</v>
      </c>
      <c r="I23" s="17">
        <v>100000.0</v>
      </c>
      <c r="J23" s="17">
        <v>100000.0</v>
      </c>
      <c r="K23" s="17">
        <v>100000.0</v>
      </c>
      <c r="L23" s="17">
        <v>100000.0</v>
      </c>
      <c r="M23" s="17">
        <v>100000.0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"/>
      <c r="AB23" s="3"/>
      <c r="AC23" s="3"/>
      <c r="AD23" s="3"/>
    </row>
    <row r="24">
      <c r="A24" s="14" t="s">
        <v>85</v>
      </c>
      <c r="B24" s="17">
        <v>10000.0</v>
      </c>
      <c r="C24" s="17">
        <v>10000.0</v>
      </c>
      <c r="D24" s="17">
        <v>10000.0</v>
      </c>
      <c r="E24" s="17">
        <v>10000.0</v>
      </c>
      <c r="F24" s="17">
        <v>10000.0</v>
      </c>
      <c r="G24" s="17">
        <v>10000.0</v>
      </c>
      <c r="H24" s="17">
        <v>10000.0</v>
      </c>
      <c r="I24" s="17">
        <v>10000.0</v>
      </c>
      <c r="J24" s="17">
        <v>10000.0</v>
      </c>
      <c r="K24" s="17">
        <v>10000.0</v>
      </c>
      <c r="L24" s="17">
        <v>10000.0</v>
      </c>
      <c r="M24" s="17">
        <v>10000.0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"/>
      <c r="AB24" s="3"/>
      <c r="AC24" s="3"/>
      <c r="AD24" s="3"/>
    </row>
    <row r="25">
      <c r="A25" s="16" t="s">
        <v>51</v>
      </c>
      <c r="B25" s="13">
        <f t="shared" ref="B25:M25" si="4">3500*B44</f>
        <v>70000</v>
      </c>
      <c r="C25" s="13">
        <f t="shared" si="4"/>
        <v>70000</v>
      </c>
      <c r="D25" s="13">
        <f t="shared" si="4"/>
        <v>70000</v>
      </c>
      <c r="E25" s="13">
        <f t="shared" si="4"/>
        <v>70000</v>
      </c>
      <c r="F25" s="13">
        <f t="shared" si="4"/>
        <v>70000</v>
      </c>
      <c r="G25" s="13">
        <f t="shared" si="4"/>
        <v>70000</v>
      </c>
      <c r="H25" s="13">
        <f t="shared" si="4"/>
        <v>70000</v>
      </c>
      <c r="I25" s="13">
        <f t="shared" si="4"/>
        <v>70000</v>
      </c>
      <c r="J25" s="13">
        <f t="shared" si="4"/>
        <v>70000</v>
      </c>
      <c r="K25" s="13">
        <f t="shared" si="4"/>
        <v>70000</v>
      </c>
      <c r="L25" s="13">
        <f t="shared" si="4"/>
        <v>70000</v>
      </c>
      <c r="M25" s="13">
        <f t="shared" si="4"/>
        <v>70000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"/>
      <c r="AB25" s="3"/>
      <c r="AC25" s="3"/>
      <c r="AD25" s="3"/>
    </row>
    <row r="26">
      <c r="A26" s="16" t="s">
        <v>52</v>
      </c>
      <c r="B26" s="13">
        <f t="shared" ref="B26:M26" si="5">17%*B25</f>
        <v>11900</v>
      </c>
      <c r="C26" s="13">
        <f t="shared" si="5"/>
        <v>11900</v>
      </c>
      <c r="D26" s="13">
        <f t="shared" si="5"/>
        <v>11900</v>
      </c>
      <c r="E26" s="13">
        <f t="shared" si="5"/>
        <v>11900</v>
      </c>
      <c r="F26" s="13">
        <f t="shared" si="5"/>
        <v>11900</v>
      </c>
      <c r="G26" s="13">
        <f t="shared" si="5"/>
        <v>11900</v>
      </c>
      <c r="H26" s="13">
        <f t="shared" si="5"/>
        <v>11900</v>
      </c>
      <c r="I26" s="13">
        <f t="shared" si="5"/>
        <v>11900</v>
      </c>
      <c r="J26" s="13">
        <f t="shared" si="5"/>
        <v>11900</v>
      </c>
      <c r="K26" s="13">
        <f t="shared" si="5"/>
        <v>11900</v>
      </c>
      <c r="L26" s="13">
        <f t="shared" si="5"/>
        <v>11900</v>
      </c>
      <c r="M26" s="13">
        <f t="shared" si="5"/>
        <v>11900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"/>
      <c r="AB26" s="3"/>
      <c r="AC26" s="3"/>
      <c r="AD26" s="3"/>
    </row>
    <row r="27">
      <c r="A27" s="16" t="s">
        <v>57</v>
      </c>
      <c r="B27" s="13"/>
      <c r="C27" s="13"/>
      <c r="D27" s="13"/>
      <c r="E27" s="13"/>
      <c r="F27" s="13"/>
      <c r="G27" s="13">
        <f>25%*G25</f>
        <v>17500</v>
      </c>
      <c r="H27" s="13"/>
      <c r="I27" s="13"/>
      <c r="J27" s="13"/>
      <c r="K27" s="13"/>
      <c r="L27" s="13"/>
      <c r="M27" s="13">
        <f>30%*M25</f>
        <v>21000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"/>
      <c r="AB27" s="3"/>
      <c r="AC27" s="3"/>
      <c r="AD27" s="3"/>
    </row>
    <row r="28">
      <c r="A28" s="16" t="s">
        <v>59</v>
      </c>
      <c r="B28" s="13">
        <f t="shared" ref="B28:M28" si="6">100*B44</f>
        <v>2000</v>
      </c>
      <c r="C28" s="13">
        <f t="shared" si="6"/>
        <v>2000</v>
      </c>
      <c r="D28" s="13">
        <f t="shared" si="6"/>
        <v>2000</v>
      </c>
      <c r="E28" s="13">
        <f t="shared" si="6"/>
        <v>2000</v>
      </c>
      <c r="F28" s="13">
        <f t="shared" si="6"/>
        <v>2000</v>
      </c>
      <c r="G28" s="13">
        <f t="shared" si="6"/>
        <v>2000</v>
      </c>
      <c r="H28" s="13">
        <f t="shared" si="6"/>
        <v>2000</v>
      </c>
      <c r="I28" s="13">
        <f t="shared" si="6"/>
        <v>2000</v>
      </c>
      <c r="J28" s="13">
        <f t="shared" si="6"/>
        <v>2000</v>
      </c>
      <c r="K28" s="13">
        <f t="shared" si="6"/>
        <v>2000</v>
      </c>
      <c r="L28" s="13">
        <f t="shared" si="6"/>
        <v>2000</v>
      </c>
      <c r="M28" s="13">
        <f t="shared" si="6"/>
        <v>2000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"/>
      <c r="AB28" s="3"/>
      <c r="AC28" s="3"/>
      <c r="AD28" s="3"/>
    </row>
    <row r="29">
      <c r="A29" s="16" t="s">
        <v>53</v>
      </c>
      <c r="B29" s="13">
        <v>4000.0</v>
      </c>
      <c r="C29" s="13">
        <v>4000.0</v>
      </c>
      <c r="D29" s="13">
        <v>4000.0</v>
      </c>
      <c r="E29" s="13">
        <v>4000.0</v>
      </c>
      <c r="F29" s="13">
        <v>4000.0</v>
      </c>
      <c r="G29" s="13">
        <v>4000.0</v>
      </c>
      <c r="H29" s="13">
        <v>4000.0</v>
      </c>
      <c r="I29" s="13">
        <v>4000.0</v>
      </c>
      <c r="J29" s="13">
        <v>4000.0</v>
      </c>
      <c r="K29" s="13">
        <v>4000.0</v>
      </c>
      <c r="L29" s="13">
        <v>4000.0</v>
      </c>
      <c r="M29" s="13">
        <v>4000.0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"/>
      <c r="AB29" s="3"/>
      <c r="AC29" s="3"/>
      <c r="AD29" s="3"/>
    </row>
    <row r="30">
      <c r="A30" s="16" t="s">
        <v>60</v>
      </c>
      <c r="B30" s="13"/>
      <c r="C30" s="13"/>
      <c r="D30" s="13"/>
      <c r="E30" s="13"/>
      <c r="F30" s="13"/>
      <c r="G30" s="13">
        <f>G25</f>
        <v>70000</v>
      </c>
      <c r="H30" s="13"/>
      <c r="I30" s="13"/>
      <c r="J30" s="13"/>
      <c r="K30" s="13"/>
      <c r="L30" s="13"/>
      <c r="M30" s="13">
        <f>G30</f>
        <v>70000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"/>
      <c r="AB30" s="3"/>
      <c r="AC30" s="3"/>
      <c r="AD30" s="3"/>
    </row>
    <row r="31">
      <c r="A31" s="16" t="s">
        <v>61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>
        <f>30%*(sum(M7:M9)-sum(M21:M30)-sum(M32:M33))</f>
        <v>38120.172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"/>
      <c r="AB31" s="3"/>
      <c r="AC31" s="3"/>
      <c r="AD31" s="3"/>
    </row>
    <row r="32">
      <c r="A32" s="18" t="s">
        <v>89</v>
      </c>
      <c r="B32" s="13">
        <f>'CC yr 2'!$B$15*1.14/12</f>
        <v>28500</v>
      </c>
      <c r="C32" s="13">
        <f>'CC yr 2'!$B$15*1.14/12</f>
        <v>28500</v>
      </c>
      <c r="D32" s="13">
        <f>'CC yr 2'!$B$15*1.14/12</f>
        <v>28500</v>
      </c>
      <c r="E32" s="13">
        <f>'CC yr 2'!$B$15*1.14/12</f>
        <v>28500</v>
      </c>
      <c r="F32" s="13">
        <f>'CC yr 2'!$B$15*1.14/12</f>
        <v>28500</v>
      </c>
      <c r="G32" s="13">
        <f>'CC yr 2'!$B$15*1.14/12</f>
        <v>28500</v>
      </c>
      <c r="H32" s="13">
        <f>'CC yr 2'!$B$15*1.14/12</f>
        <v>28500</v>
      </c>
      <c r="I32" s="13">
        <f>'CC yr 2'!$B$15*1.14/12</f>
        <v>28500</v>
      </c>
      <c r="J32" s="13">
        <f>'CC yr 2'!$B$15*1.14/12</f>
        <v>28500</v>
      </c>
      <c r="K32" s="13">
        <f>'CC yr 2'!$B$15*1.14/12</f>
        <v>28500</v>
      </c>
      <c r="L32" s="13">
        <f>'CC yr 2'!$B$15*1.14/12</f>
        <v>28500</v>
      </c>
      <c r="M32" s="13">
        <f>'CC yr 2'!$B$15*1.14/12</f>
        <v>28500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"/>
      <c r="AB32" s="3"/>
      <c r="AC32" s="3"/>
      <c r="AD32" s="3"/>
    </row>
    <row r="33">
      <c r="A33" s="18" t="s">
        <v>68</v>
      </c>
      <c r="B33" s="13">
        <f t="shared" ref="B33:M33" si="7">3%*B7</f>
        <v>13267.26</v>
      </c>
      <c r="C33" s="13">
        <f t="shared" si="7"/>
        <v>13267.26</v>
      </c>
      <c r="D33" s="13">
        <f t="shared" si="7"/>
        <v>13267.26</v>
      </c>
      <c r="E33" s="13">
        <f t="shared" si="7"/>
        <v>13267.26</v>
      </c>
      <c r="F33" s="13">
        <f t="shared" si="7"/>
        <v>13267.26</v>
      </c>
      <c r="G33" s="13">
        <f t="shared" si="7"/>
        <v>13267.26</v>
      </c>
      <c r="H33" s="13">
        <f t="shared" si="7"/>
        <v>13267.26</v>
      </c>
      <c r="I33" s="13">
        <f t="shared" si="7"/>
        <v>13267.26</v>
      </c>
      <c r="J33" s="13">
        <f t="shared" si="7"/>
        <v>13267.26</v>
      </c>
      <c r="K33" s="13">
        <f t="shared" si="7"/>
        <v>13267.26</v>
      </c>
      <c r="L33" s="13">
        <f t="shared" si="7"/>
        <v>13267.26</v>
      </c>
      <c r="M33" s="13">
        <f t="shared" si="7"/>
        <v>13267.26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"/>
      <c r="AB33" s="3"/>
      <c r="AC33" s="3"/>
      <c r="AD33" s="3"/>
    </row>
    <row r="34">
      <c r="A34" s="10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"/>
      <c r="AB34" s="3"/>
      <c r="AC34" s="3"/>
      <c r="AD34" s="3"/>
    </row>
    <row r="35">
      <c r="A35" s="8" t="s">
        <v>54</v>
      </c>
      <c r="B35" s="13">
        <f t="shared" ref="B35:M35" si="8">B15</f>
        <v>464734.5</v>
      </c>
      <c r="C35" s="13">
        <f t="shared" si="8"/>
        <v>464734.5</v>
      </c>
      <c r="D35" s="13">
        <f t="shared" si="8"/>
        <v>464734.5</v>
      </c>
      <c r="E35" s="13">
        <f t="shared" si="8"/>
        <v>464734.5</v>
      </c>
      <c r="F35" s="13">
        <f t="shared" si="8"/>
        <v>464734.5</v>
      </c>
      <c r="G35" s="13">
        <f t="shared" si="8"/>
        <v>464734.5</v>
      </c>
      <c r="H35" s="13">
        <f t="shared" si="8"/>
        <v>464734.5</v>
      </c>
      <c r="I35" s="13">
        <f t="shared" si="8"/>
        <v>464734.5</v>
      </c>
      <c r="J35" s="13">
        <f t="shared" si="8"/>
        <v>464734.5</v>
      </c>
      <c r="K35" s="13">
        <f t="shared" si="8"/>
        <v>464734.5</v>
      </c>
      <c r="L35" s="13">
        <f t="shared" si="8"/>
        <v>464734.5</v>
      </c>
      <c r="M35" s="13">
        <f t="shared" si="8"/>
        <v>464734.5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"/>
      <c r="AB35" s="3"/>
      <c r="AC35" s="3"/>
      <c r="AD35" s="3"/>
    </row>
    <row r="36">
      <c r="A36" s="8" t="s">
        <v>55</v>
      </c>
      <c r="B36" s="13">
        <f t="shared" ref="B36:M36" si="9">sum(B20:B31)</f>
        <v>248900</v>
      </c>
      <c r="C36" s="13">
        <f t="shared" si="9"/>
        <v>201900</v>
      </c>
      <c r="D36" s="13">
        <f t="shared" si="9"/>
        <v>201900</v>
      </c>
      <c r="E36" s="13">
        <f t="shared" si="9"/>
        <v>208900</v>
      </c>
      <c r="F36" s="13">
        <f t="shared" si="9"/>
        <v>208900</v>
      </c>
      <c r="G36" s="13">
        <f t="shared" si="9"/>
        <v>296400</v>
      </c>
      <c r="H36" s="13">
        <f t="shared" si="9"/>
        <v>208900</v>
      </c>
      <c r="I36" s="13">
        <f t="shared" si="9"/>
        <v>208900</v>
      </c>
      <c r="J36" s="13">
        <f t="shared" si="9"/>
        <v>208900</v>
      </c>
      <c r="K36" s="13">
        <f t="shared" si="9"/>
        <v>208900</v>
      </c>
      <c r="L36" s="13">
        <f t="shared" si="9"/>
        <v>208900</v>
      </c>
      <c r="M36" s="13">
        <f t="shared" si="9"/>
        <v>338020.172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"/>
      <c r="AB36" s="3"/>
      <c r="AC36" s="3"/>
      <c r="AD36" s="3"/>
    </row>
    <row r="37">
      <c r="A37" s="10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"/>
      <c r="AB37" s="3"/>
      <c r="AC37" s="3"/>
      <c r="AD37" s="3"/>
    </row>
    <row r="38">
      <c r="A38" s="8" t="s">
        <v>58</v>
      </c>
      <c r="B38" s="13">
        <f>'CC yr 3'!M39</f>
        <v>-305655.6</v>
      </c>
      <c r="C38" s="13">
        <f t="shared" ref="C38:M38" si="10">B39</f>
        <v>-89821.1</v>
      </c>
      <c r="D38" s="13">
        <f t="shared" si="10"/>
        <v>173013.4</v>
      </c>
      <c r="E38" s="13">
        <f t="shared" si="10"/>
        <v>435847.9</v>
      </c>
      <c r="F38" s="13">
        <f t="shared" si="10"/>
        <v>691682.4</v>
      </c>
      <c r="G38" s="13">
        <f t="shared" si="10"/>
        <v>947516.9</v>
      </c>
      <c r="H38" s="13">
        <f t="shared" si="10"/>
        <v>1115851.4</v>
      </c>
      <c r="I38" s="13">
        <f t="shared" si="10"/>
        <v>1371685.9</v>
      </c>
      <c r="J38" s="13">
        <f t="shared" si="10"/>
        <v>1627520.4</v>
      </c>
      <c r="K38" s="13">
        <f t="shared" si="10"/>
        <v>1883354.9</v>
      </c>
      <c r="L38" s="13">
        <f t="shared" si="10"/>
        <v>2139189.4</v>
      </c>
      <c r="M38" s="13">
        <f t="shared" si="10"/>
        <v>2395023.9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"/>
      <c r="AB38" s="3"/>
      <c r="AC38" s="3"/>
      <c r="AD38" s="3"/>
    </row>
    <row r="39">
      <c r="A39" s="8" t="s">
        <v>62</v>
      </c>
      <c r="B39" s="13">
        <f t="shared" ref="B39:D39" si="11">B38+(B35-B36)</f>
        <v>-89821.1</v>
      </c>
      <c r="C39" s="13">
        <f t="shared" si="11"/>
        <v>173013.4</v>
      </c>
      <c r="D39" s="13">
        <f t="shared" si="11"/>
        <v>435847.9</v>
      </c>
      <c r="E39" s="13">
        <f t="shared" ref="E39:F39" si="12">E38+E35-E36</f>
        <v>691682.4</v>
      </c>
      <c r="F39" s="13">
        <f t="shared" si="12"/>
        <v>947516.9</v>
      </c>
      <c r="G39" s="13">
        <f t="shared" ref="G39:M39" si="13">G38+(G35-G36)</f>
        <v>1115851.4</v>
      </c>
      <c r="H39" s="13">
        <f t="shared" si="13"/>
        <v>1371685.9</v>
      </c>
      <c r="I39" s="13">
        <f t="shared" si="13"/>
        <v>1627520.4</v>
      </c>
      <c r="J39" s="13">
        <f t="shared" si="13"/>
        <v>1883354.9</v>
      </c>
      <c r="K39" s="13">
        <f t="shared" si="13"/>
        <v>2139189.4</v>
      </c>
      <c r="L39" s="13">
        <f t="shared" si="13"/>
        <v>2395023.9</v>
      </c>
      <c r="M39" s="13">
        <f t="shared" si="13"/>
        <v>2521738.228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"/>
      <c r="AB39" s="3"/>
      <c r="AC39" s="3"/>
      <c r="AD39" s="3"/>
    </row>
    <row r="40">
      <c r="A40" s="10"/>
      <c r="B40" s="19"/>
      <c r="C40" s="19"/>
      <c r="D40" s="19"/>
      <c r="E40" s="19"/>
      <c r="F40" s="19"/>
      <c r="G40" s="19"/>
      <c r="H40" s="19"/>
      <c r="I40" s="30"/>
      <c r="J40" s="30"/>
      <c r="K40" s="30"/>
      <c r="L40" s="30"/>
      <c r="M40" s="30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"/>
      <c r="AB40" s="3"/>
      <c r="AC40" s="3"/>
      <c r="AD40" s="3"/>
    </row>
    <row r="41">
      <c r="A41" s="10"/>
      <c r="B41" s="19"/>
      <c r="C41" s="19"/>
      <c r="D41" s="19"/>
      <c r="E41" s="19"/>
      <c r="F41" s="19"/>
      <c r="G41" s="19"/>
      <c r="H41" s="19"/>
      <c r="I41" s="30"/>
      <c r="J41" s="30"/>
      <c r="K41" s="30"/>
      <c r="L41" s="30"/>
      <c r="M41" s="30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"/>
      <c r="AB41" s="3"/>
      <c r="AC41" s="3"/>
      <c r="AD41" s="3"/>
    </row>
    <row r="42">
      <c r="A42" s="24" t="s">
        <v>70</v>
      </c>
      <c r="B42" s="25"/>
      <c r="C42" s="25"/>
      <c r="D42" s="25"/>
      <c r="E42" s="25"/>
      <c r="F42" s="25"/>
      <c r="G42" s="25"/>
      <c r="H42" s="25"/>
      <c r="I42" s="26"/>
      <c r="J42" s="26"/>
      <c r="K42" s="26"/>
      <c r="L42" s="26"/>
      <c r="M42" s="26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"/>
      <c r="AB42" s="3"/>
      <c r="AC42" s="3"/>
      <c r="AD42" s="3"/>
    </row>
    <row r="43">
      <c r="A43" s="18" t="s">
        <v>65</v>
      </c>
      <c r="B43" s="36">
        <v>1500.0</v>
      </c>
      <c r="C43" s="36">
        <v>1500.0</v>
      </c>
      <c r="D43" s="36">
        <v>1500.0</v>
      </c>
      <c r="E43" s="36">
        <v>1500.0</v>
      </c>
      <c r="F43" s="36">
        <v>1500.0</v>
      </c>
      <c r="G43" s="36">
        <v>1500.0</v>
      </c>
      <c r="H43" s="36">
        <v>1500.0</v>
      </c>
      <c r="I43" s="36">
        <v>1500.0</v>
      </c>
      <c r="J43" s="36">
        <v>1500.0</v>
      </c>
      <c r="K43" s="36">
        <v>1500.0</v>
      </c>
      <c r="L43" s="36">
        <v>1500.0</v>
      </c>
      <c r="M43" s="36">
        <v>1500.0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"/>
      <c r="AB43" s="3"/>
      <c r="AC43" s="3"/>
      <c r="AD43" s="3"/>
    </row>
    <row r="44">
      <c r="A44" s="18" t="s">
        <v>66</v>
      </c>
      <c r="B44" s="36">
        <v>20.0</v>
      </c>
      <c r="C44" s="36">
        <v>20.0</v>
      </c>
      <c r="D44" s="36">
        <v>20.0</v>
      </c>
      <c r="E44" s="36">
        <v>20.0</v>
      </c>
      <c r="F44" s="36">
        <v>20.0</v>
      </c>
      <c r="G44" s="36">
        <v>20.0</v>
      </c>
      <c r="H44" s="36">
        <v>20.0</v>
      </c>
      <c r="I44" s="36">
        <v>20.0</v>
      </c>
      <c r="J44" s="36">
        <v>20.0</v>
      </c>
      <c r="K44" s="36">
        <v>20.0</v>
      </c>
      <c r="L44" s="36">
        <v>20.0</v>
      </c>
      <c r="M44" s="36">
        <v>20.0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"/>
      <c r="AB44" s="3"/>
      <c r="AC44" s="3"/>
      <c r="AD44" s="3"/>
    </row>
    <row r="45">
      <c r="A45" s="18" t="s">
        <v>67</v>
      </c>
      <c r="B45" s="13">
        <v>245.69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"/>
      <c r="AB45" s="3"/>
      <c r="AC45" s="3"/>
      <c r="AD45" s="3"/>
    </row>
    <row r="46">
      <c r="A46" s="18" t="s">
        <v>69</v>
      </c>
      <c r="B46" s="13">
        <v>19.99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"/>
      <c r="AB46" s="3"/>
      <c r="AC46" s="3"/>
      <c r="AD46" s="3"/>
    </row>
    <row r="47">
      <c r="A47" s="18" t="s">
        <v>104</v>
      </c>
      <c r="B47" s="13">
        <v>7.99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"/>
      <c r="AB47" s="3"/>
      <c r="AC47" s="3"/>
      <c r="AD47" s="3"/>
    </row>
    <row r="48">
      <c r="A48" s="73" t="s">
        <v>106</v>
      </c>
      <c r="B48" s="74">
        <v>4.0</v>
      </c>
      <c r="C48" s="74">
        <v>4.0</v>
      </c>
      <c r="D48" s="74">
        <v>4.0</v>
      </c>
      <c r="E48" s="74">
        <v>4.0</v>
      </c>
      <c r="F48" s="74">
        <v>4.0</v>
      </c>
      <c r="G48" s="74">
        <v>4.0</v>
      </c>
      <c r="H48" s="74">
        <v>4.0</v>
      </c>
      <c r="I48" s="74">
        <v>4.0</v>
      </c>
      <c r="J48" s="74">
        <v>4.0</v>
      </c>
      <c r="K48" s="74">
        <v>4.0</v>
      </c>
      <c r="L48" s="74">
        <v>4.0</v>
      </c>
      <c r="M48" s="74">
        <v>4.0</v>
      </c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3"/>
      <c r="AB48" s="3"/>
      <c r="AC48" s="3"/>
      <c r="AD48" s="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9.0"/>
    <col customWidth="1" min="2" max="13" width="15.29"/>
  </cols>
  <sheetData>
    <row r="1">
      <c r="A1" s="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5"/>
      <c r="AB1" s="35"/>
      <c r="AC1" s="35"/>
      <c r="AD1" s="35"/>
    </row>
    <row r="2">
      <c r="A2" s="4" t="s">
        <v>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5"/>
      <c r="AB2" s="35"/>
      <c r="AC2" s="35"/>
      <c r="AD2" s="35"/>
    </row>
    <row r="3">
      <c r="A3" s="4" t="s">
        <v>72</v>
      </c>
      <c r="B3" s="7" t="s">
        <v>3</v>
      </c>
      <c r="C3" s="9" t="s">
        <v>7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16</v>
      </c>
      <c r="L3" s="9" t="s">
        <v>17</v>
      </c>
      <c r="M3" s="9" t="s">
        <v>18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5"/>
      <c r="AB3" s="35"/>
      <c r="AC3" s="35"/>
      <c r="AD3" s="35"/>
    </row>
    <row r="4">
      <c r="A4" s="41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5"/>
      <c r="AB4" s="35"/>
      <c r="AC4" s="35"/>
      <c r="AD4" s="35"/>
    </row>
    <row r="5">
      <c r="A5" s="11" t="s">
        <v>19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5"/>
      <c r="AB5" s="35"/>
      <c r="AC5" s="35"/>
      <c r="AD5" s="35"/>
    </row>
    <row r="6">
      <c r="A6" s="8" t="s">
        <v>20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5"/>
      <c r="AB6" s="35"/>
      <c r="AC6" s="35"/>
      <c r="AD6" s="35"/>
    </row>
    <row r="7">
      <c r="A7" s="14" t="s">
        <v>21</v>
      </c>
      <c r="B7" s="43">
        <f t="shared" ref="B7:M7" si="1">316*B40*30%*B44</f>
        <v>1516800</v>
      </c>
      <c r="C7" s="43">
        <f t="shared" si="1"/>
        <v>1516800</v>
      </c>
      <c r="D7" s="43">
        <f t="shared" si="1"/>
        <v>1516800</v>
      </c>
      <c r="E7" s="43">
        <f t="shared" si="1"/>
        <v>1516800</v>
      </c>
      <c r="F7" s="43">
        <f t="shared" si="1"/>
        <v>1516800</v>
      </c>
      <c r="G7" s="43">
        <f t="shared" si="1"/>
        <v>1516800</v>
      </c>
      <c r="H7" s="43">
        <f t="shared" si="1"/>
        <v>1516800</v>
      </c>
      <c r="I7" s="43">
        <f t="shared" si="1"/>
        <v>1516800</v>
      </c>
      <c r="J7" s="43">
        <f t="shared" si="1"/>
        <v>1516800</v>
      </c>
      <c r="K7" s="43">
        <f t="shared" si="1"/>
        <v>1516800</v>
      </c>
      <c r="L7" s="43">
        <f t="shared" si="1"/>
        <v>1516800</v>
      </c>
      <c r="M7" s="43">
        <f t="shared" si="1"/>
        <v>1516800</v>
      </c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5"/>
      <c r="AB7" s="35"/>
      <c r="AC7" s="35"/>
      <c r="AD7" s="35"/>
    </row>
    <row r="8">
      <c r="A8" s="14" t="s">
        <v>74</v>
      </c>
      <c r="B8" s="43">
        <f t="shared" ref="B8:M8" si="2">10*(B40*1/2)</f>
        <v>10000</v>
      </c>
      <c r="C8" s="43">
        <f t="shared" si="2"/>
        <v>10000</v>
      </c>
      <c r="D8" s="43">
        <f t="shared" si="2"/>
        <v>10000</v>
      </c>
      <c r="E8" s="43">
        <f t="shared" si="2"/>
        <v>10000</v>
      </c>
      <c r="F8" s="43">
        <f t="shared" si="2"/>
        <v>10000</v>
      </c>
      <c r="G8" s="43">
        <f t="shared" si="2"/>
        <v>10000</v>
      </c>
      <c r="H8" s="43">
        <f t="shared" si="2"/>
        <v>10000</v>
      </c>
      <c r="I8" s="43">
        <f t="shared" si="2"/>
        <v>10000</v>
      </c>
      <c r="J8" s="43">
        <f t="shared" si="2"/>
        <v>10000</v>
      </c>
      <c r="K8" s="43">
        <f t="shared" si="2"/>
        <v>10000</v>
      </c>
      <c r="L8" s="43">
        <f t="shared" si="2"/>
        <v>10000</v>
      </c>
      <c r="M8" s="43">
        <f t="shared" si="2"/>
        <v>10000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5"/>
      <c r="AB8" s="35"/>
      <c r="AC8" s="35"/>
      <c r="AD8" s="35"/>
    </row>
    <row r="9">
      <c r="A9" s="44" t="s">
        <v>25</v>
      </c>
      <c r="B9" s="43">
        <f t="shared" ref="B9:M9" si="3">1/2*B40*$B$43</f>
        <v>19990</v>
      </c>
      <c r="C9" s="43">
        <f t="shared" si="3"/>
        <v>19990</v>
      </c>
      <c r="D9" s="43">
        <f t="shared" si="3"/>
        <v>19990</v>
      </c>
      <c r="E9" s="43">
        <f t="shared" si="3"/>
        <v>19990</v>
      </c>
      <c r="F9" s="43">
        <f t="shared" si="3"/>
        <v>19990</v>
      </c>
      <c r="G9" s="43">
        <f t="shared" si="3"/>
        <v>19990</v>
      </c>
      <c r="H9" s="43">
        <f t="shared" si="3"/>
        <v>19990</v>
      </c>
      <c r="I9" s="43">
        <f t="shared" si="3"/>
        <v>19990</v>
      </c>
      <c r="J9" s="43">
        <f t="shared" si="3"/>
        <v>19990</v>
      </c>
      <c r="K9" s="43">
        <f t="shared" si="3"/>
        <v>19990</v>
      </c>
      <c r="L9" s="43">
        <f t="shared" si="3"/>
        <v>19990</v>
      </c>
      <c r="M9" s="43">
        <f t="shared" si="3"/>
        <v>19990</v>
      </c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5"/>
      <c r="AB9" s="35"/>
      <c r="AC9" s="35"/>
      <c r="AD9" s="35"/>
    </row>
    <row r="10">
      <c r="A10" s="44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5"/>
      <c r="AB10" s="35"/>
      <c r="AC10" s="35"/>
      <c r="AD10" s="35"/>
    </row>
    <row r="11">
      <c r="A11" s="16" t="s">
        <v>26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5"/>
      <c r="AB11" s="35"/>
      <c r="AC11" s="35"/>
      <c r="AD11" s="35"/>
    </row>
    <row r="12">
      <c r="A12" s="16" t="s">
        <v>27</v>
      </c>
      <c r="B12" s="43">
        <v>0.0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5"/>
      <c r="AB12" s="35"/>
      <c r="AC12" s="35"/>
      <c r="AD12" s="35"/>
    </row>
    <row r="13">
      <c r="A13" s="14" t="s">
        <v>39</v>
      </c>
      <c r="B13" s="43">
        <v>0.0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5"/>
      <c r="AB13" s="35"/>
      <c r="AC13" s="35"/>
      <c r="AD13" s="35"/>
    </row>
    <row r="14">
      <c r="A14" s="41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5"/>
      <c r="AB14" s="35"/>
      <c r="AC14" s="35"/>
      <c r="AD14" s="35"/>
    </row>
    <row r="15">
      <c r="A15" s="8" t="s">
        <v>34</v>
      </c>
      <c r="B15" s="43">
        <f t="shared" ref="B15:M15" si="4">sum(B7:B13)</f>
        <v>1546790</v>
      </c>
      <c r="C15" s="43">
        <f t="shared" si="4"/>
        <v>1546790</v>
      </c>
      <c r="D15" s="43">
        <f t="shared" si="4"/>
        <v>1546790</v>
      </c>
      <c r="E15" s="43">
        <f t="shared" si="4"/>
        <v>1546790</v>
      </c>
      <c r="F15" s="43">
        <f t="shared" si="4"/>
        <v>1546790</v>
      </c>
      <c r="G15" s="43">
        <f t="shared" si="4"/>
        <v>1546790</v>
      </c>
      <c r="H15" s="43">
        <f t="shared" si="4"/>
        <v>1546790</v>
      </c>
      <c r="I15" s="43">
        <f t="shared" si="4"/>
        <v>1546790</v>
      </c>
      <c r="J15" s="43">
        <f t="shared" si="4"/>
        <v>1546790</v>
      </c>
      <c r="K15" s="43">
        <f t="shared" si="4"/>
        <v>1546790</v>
      </c>
      <c r="L15" s="43">
        <f t="shared" si="4"/>
        <v>1546790</v>
      </c>
      <c r="M15" s="43">
        <f t="shared" si="4"/>
        <v>1546790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5"/>
      <c r="AB15" s="35"/>
      <c r="AC15" s="35"/>
      <c r="AD15" s="35"/>
    </row>
    <row r="16">
      <c r="A16" s="41"/>
      <c r="B16" s="54"/>
      <c r="C16" s="54"/>
      <c r="D16" s="54"/>
      <c r="E16" s="54"/>
      <c r="F16" s="56"/>
      <c r="G16" s="56"/>
      <c r="H16" s="56"/>
      <c r="I16" s="56"/>
      <c r="J16" s="56"/>
      <c r="K16" s="56"/>
      <c r="L16" s="56"/>
      <c r="M16" s="56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5"/>
      <c r="AB16" s="35"/>
      <c r="AC16" s="35"/>
      <c r="AD16" s="35"/>
    </row>
    <row r="17">
      <c r="A17" s="41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5"/>
      <c r="AB17" s="35"/>
      <c r="AC17" s="35"/>
      <c r="AD17" s="35"/>
    </row>
    <row r="18">
      <c r="A18" s="21" t="s">
        <v>35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5"/>
      <c r="AB18" s="35"/>
      <c r="AC18" s="35"/>
      <c r="AD18" s="35"/>
    </row>
    <row r="19">
      <c r="A19" s="61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5"/>
      <c r="AB19" s="35"/>
      <c r="AC19" s="35"/>
      <c r="AD19" s="35"/>
    </row>
    <row r="20">
      <c r="A20" s="14" t="s">
        <v>36</v>
      </c>
      <c r="B20" s="63">
        <v>4000.0</v>
      </c>
      <c r="C20" s="63">
        <v>4000.0</v>
      </c>
      <c r="D20" s="63">
        <v>4000.0</v>
      </c>
      <c r="E20" s="63">
        <v>4000.0</v>
      </c>
      <c r="F20" s="63">
        <v>4000.0</v>
      </c>
      <c r="G20" s="63">
        <v>4000.0</v>
      </c>
      <c r="H20" s="63">
        <v>4000.0</v>
      </c>
      <c r="I20" s="63">
        <v>4000.0</v>
      </c>
      <c r="J20" s="63">
        <v>4000.0</v>
      </c>
      <c r="K20" s="63">
        <v>4000.0</v>
      </c>
      <c r="L20" s="63">
        <v>4000.0</v>
      </c>
      <c r="M20" s="63">
        <v>4000.0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5"/>
      <c r="AB20" s="35"/>
      <c r="AC20" s="35"/>
      <c r="AD20" s="35"/>
    </row>
    <row r="21">
      <c r="A21" s="16" t="s">
        <v>38</v>
      </c>
      <c r="B21" s="63">
        <v>7000.0</v>
      </c>
      <c r="C21" s="63">
        <v>7000.0</v>
      </c>
      <c r="D21" s="63">
        <v>7000.0</v>
      </c>
      <c r="E21" s="63">
        <v>7000.0</v>
      </c>
      <c r="F21" s="63">
        <v>7000.0</v>
      </c>
      <c r="G21" s="63">
        <v>7000.0</v>
      </c>
      <c r="H21" s="63">
        <v>7000.0</v>
      </c>
      <c r="I21" s="63">
        <v>7000.0</v>
      </c>
      <c r="J21" s="63">
        <v>7000.0</v>
      </c>
      <c r="K21" s="63">
        <v>7000.0</v>
      </c>
      <c r="L21" s="63">
        <v>7000.0</v>
      </c>
      <c r="M21" s="63">
        <v>7000.0</v>
      </c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5"/>
      <c r="AB21" s="35"/>
      <c r="AC21" s="35"/>
      <c r="AD21" s="35"/>
    </row>
    <row r="22">
      <c r="A22" s="14" t="s">
        <v>47</v>
      </c>
      <c r="B22" s="65">
        <v>100000.0</v>
      </c>
      <c r="C22" s="65">
        <v>100000.0</v>
      </c>
      <c r="D22" s="65">
        <v>100000.0</v>
      </c>
      <c r="E22" s="65">
        <v>100000.0</v>
      </c>
      <c r="F22" s="65">
        <v>100000.0</v>
      </c>
      <c r="G22" s="65">
        <v>100000.0</v>
      </c>
      <c r="H22" s="65">
        <v>100000.0</v>
      </c>
      <c r="I22" s="65">
        <v>100000.0</v>
      </c>
      <c r="J22" s="65">
        <v>100000.0</v>
      </c>
      <c r="K22" s="65">
        <v>100000.0</v>
      </c>
      <c r="L22" s="65">
        <v>100000.0</v>
      </c>
      <c r="M22" s="65">
        <v>100000.0</v>
      </c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5"/>
      <c r="AB22" s="35"/>
      <c r="AC22" s="35"/>
      <c r="AD22" s="35"/>
    </row>
    <row r="23">
      <c r="A23" s="14" t="s">
        <v>87</v>
      </c>
      <c r="B23" s="65">
        <f t="shared" ref="B23:M23" si="5">B40*100</f>
        <v>200000</v>
      </c>
      <c r="C23" s="65">
        <f t="shared" si="5"/>
        <v>200000</v>
      </c>
      <c r="D23" s="65">
        <f t="shared" si="5"/>
        <v>200000</v>
      </c>
      <c r="E23" s="65">
        <f t="shared" si="5"/>
        <v>200000</v>
      </c>
      <c r="F23" s="65">
        <f t="shared" si="5"/>
        <v>200000</v>
      </c>
      <c r="G23" s="65">
        <f t="shared" si="5"/>
        <v>200000</v>
      </c>
      <c r="H23" s="65">
        <f t="shared" si="5"/>
        <v>200000</v>
      </c>
      <c r="I23" s="65">
        <f t="shared" si="5"/>
        <v>200000</v>
      </c>
      <c r="J23" s="65">
        <f t="shared" si="5"/>
        <v>200000</v>
      </c>
      <c r="K23" s="65">
        <f t="shared" si="5"/>
        <v>200000</v>
      </c>
      <c r="L23" s="65">
        <f t="shared" si="5"/>
        <v>200000</v>
      </c>
      <c r="M23" s="65">
        <f t="shared" si="5"/>
        <v>200000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5"/>
      <c r="AB23" s="35"/>
      <c r="AC23" s="35"/>
      <c r="AD23" s="35"/>
    </row>
    <row r="24">
      <c r="A24" s="16" t="s">
        <v>51</v>
      </c>
      <c r="B24" s="43">
        <f t="shared" ref="B24:M24" si="6">4000*B41</f>
        <v>160000</v>
      </c>
      <c r="C24" s="43">
        <f t="shared" si="6"/>
        <v>160000</v>
      </c>
      <c r="D24" s="43">
        <f t="shared" si="6"/>
        <v>160000</v>
      </c>
      <c r="E24" s="43">
        <f t="shared" si="6"/>
        <v>160000</v>
      </c>
      <c r="F24" s="43">
        <f t="shared" si="6"/>
        <v>160000</v>
      </c>
      <c r="G24" s="43">
        <f t="shared" si="6"/>
        <v>160000</v>
      </c>
      <c r="H24" s="43">
        <f t="shared" si="6"/>
        <v>160000</v>
      </c>
      <c r="I24" s="43">
        <f t="shared" si="6"/>
        <v>160000</v>
      </c>
      <c r="J24" s="43">
        <f t="shared" si="6"/>
        <v>160000</v>
      </c>
      <c r="K24" s="43">
        <f t="shared" si="6"/>
        <v>160000</v>
      </c>
      <c r="L24" s="43">
        <f t="shared" si="6"/>
        <v>160000</v>
      </c>
      <c r="M24" s="43">
        <f t="shared" si="6"/>
        <v>160000</v>
      </c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5"/>
      <c r="AB24" s="35"/>
      <c r="AC24" s="35"/>
      <c r="AD24" s="35"/>
    </row>
    <row r="25">
      <c r="A25" s="16" t="s">
        <v>52</v>
      </c>
      <c r="B25" s="66">
        <f t="shared" ref="B25:M25" si="7">17%*B24</f>
        <v>27200</v>
      </c>
      <c r="C25" s="66">
        <f t="shared" si="7"/>
        <v>27200</v>
      </c>
      <c r="D25" s="66">
        <f t="shared" si="7"/>
        <v>27200</v>
      </c>
      <c r="E25" s="66">
        <f t="shared" si="7"/>
        <v>27200</v>
      </c>
      <c r="F25" s="66">
        <f t="shared" si="7"/>
        <v>27200</v>
      </c>
      <c r="G25" s="66">
        <f t="shared" si="7"/>
        <v>27200</v>
      </c>
      <c r="H25" s="66">
        <f t="shared" si="7"/>
        <v>27200</v>
      </c>
      <c r="I25" s="66">
        <f t="shared" si="7"/>
        <v>27200</v>
      </c>
      <c r="J25" s="66">
        <f t="shared" si="7"/>
        <v>27200</v>
      </c>
      <c r="K25" s="66">
        <f t="shared" si="7"/>
        <v>27200</v>
      </c>
      <c r="L25" s="66">
        <f t="shared" si="7"/>
        <v>27200</v>
      </c>
      <c r="M25" s="66">
        <f t="shared" si="7"/>
        <v>27200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5"/>
      <c r="AB25" s="35"/>
      <c r="AC25" s="35"/>
      <c r="AD25" s="35"/>
    </row>
    <row r="26">
      <c r="A26" s="16" t="s">
        <v>57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>
        <f>10%*M24</f>
        <v>16000</v>
      </c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5"/>
      <c r="AB26" s="35"/>
      <c r="AC26" s="35"/>
      <c r="AD26" s="35"/>
    </row>
    <row r="27">
      <c r="A27" s="16" t="s">
        <v>59</v>
      </c>
      <c r="B27" s="65">
        <f t="shared" ref="B27:M27" si="8">100*B41</f>
        <v>4000</v>
      </c>
      <c r="C27" s="65">
        <f t="shared" si="8"/>
        <v>4000</v>
      </c>
      <c r="D27" s="65">
        <f t="shared" si="8"/>
        <v>4000</v>
      </c>
      <c r="E27" s="65">
        <f t="shared" si="8"/>
        <v>4000</v>
      </c>
      <c r="F27" s="65">
        <f t="shared" si="8"/>
        <v>4000</v>
      </c>
      <c r="G27" s="65">
        <f t="shared" si="8"/>
        <v>4000</v>
      </c>
      <c r="H27" s="65">
        <f t="shared" si="8"/>
        <v>4000</v>
      </c>
      <c r="I27" s="65">
        <f t="shared" si="8"/>
        <v>4000</v>
      </c>
      <c r="J27" s="65">
        <f t="shared" si="8"/>
        <v>4000</v>
      </c>
      <c r="K27" s="65">
        <f t="shared" si="8"/>
        <v>4000</v>
      </c>
      <c r="L27" s="65">
        <f t="shared" si="8"/>
        <v>4000</v>
      </c>
      <c r="M27" s="65">
        <f t="shared" si="8"/>
        <v>4000</v>
      </c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5"/>
      <c r="AB27" s="35"/>
      <c r="AC27" s="35"/>
      <c r="AD27" s="35"/>
    </row>
    <row r="28">
      <c r="A28" s="16" t="s">
        <v>53</v>
      </c>
      <c r="B28" s="43">
        <v>4000.0</v>
      </c>
      <c r="C28" s="43">
        <v>4000.0</v>
      </c>
      <c r="D28" s="43">
        <v>4000.0</v>
      </c>
      <c r="E28" s="43">
        <v>4000.0</v>
      </c>
      <c r="F28" s="43">
        <v>4000.0</v>
      </c>
      <c r="G28" s="43">
        <v>4000.0</v>
      </c>
      <c r="H28" s="43">
        <v>4000.0</v>
      </c>
      <c r="I28" s="43">
        <v>4000.0</v>
      </c>
      <c r="J28" s="43">
        <v>4000.0</v>
      </c>
      <c r="K28" s="43">
        <v>4000.0</v>
      </c>
      <c r="L28" s="43">
        <v>4000.0</v>
      </c>
      <c r="M28" s="43">
        <v>4000.0</v>
      </c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5"/>
      <c r="AB28" s="35"/>
      <c r="AC28" s="35"/>
      <c r="AD28" s="35"/>
    </row>
    <row r="29">
      <c r="A29" s="16" t="s">
        <v>60</v>
      </c>
      <c r="B29" s="66"/>
      <c r="C29" s="66"/>
      <c r="D29" s="66"/>
      <c r="E29" s="66"/>
      <c r="F29" s="66"/>
      <c r="G29" s="66">
        <f>G24</f>
        <v>160000</v>
      </c>
      <c r="H29" s="66"/>
      <c r="I29" s="66"/>
      <c r="J29" s="66"/>
      <c r="K29" s="66"/>
      <c r="L29" s="66"/>
      <c r="M29" s="66">
        <f>G29</f>
        <v>160000</v>
      </c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5"/>
      <c r="AB29" s="35"/>
      <c r="AC29" s="35"/>
      <c r="AD29" s="35"/>
    </row>
    <row r="30">
      <c r="A30" s="16" t="s">
        <v>61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>
        <f>30%*(sum(M7:M9)-sum(M21:M29)-M31)</f>
        <v>246925.8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5"/>
      <c r="AB30" s="35"/>
      <c r="AC30" s="35"/>
      <c r="AD30" s="35"/>
    </row>
    <row r="31">
      <c r="A31" s="67" t="s">
        <v>68</v>
      </c>
      <c r="B31" s="43">
        <f t="shared" ref="B31:M31" si="9">3%*B7</f>
        <v>45504</v>
      </c>
      <c r="C31" s="43">
        <f t="shared" si="9"/>
        <v>45504</v>
      </c>
      <c r="D31" s="43">
        <f t="shared" si="9"/>
        <v>45504</v>
      </c>
      <c r="E31" s="43">
        <f t="shared" si="9"/>
        <v>45504</v>
      </c>
      <c r="F31" s="43">
        <f t="shared" si="9"/>
        <v>45504</v>
      </c>
      <c r="G31" s="43">
        <f t="shared" si="9"/>
        <v>45504</v>
      </c>
      <c r="H31" s="43">
        <f t="shared" si="9"/>
        <v>45504</v>
      </c>
      <c r="I31" s="43">
        <f t="shared" si="9"/>
        <v>45504</v>
      </c>
      <c r="J31" s="43">
        <f t="shared" si="9"/>
        <v>45504</v>
      </c>
      <c r="K31" s="43">
        <f t="shared" si="9"/>
        <v>45504</v>
      </c>
      <c r="L31" s="43">
        <f t="shared" si="9"/>
        <v>45504</v>
      </c>
      <c r="M31" s="43">
        <f t="shared" si="9"/>
        <v>45504</v>
      </c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5"/>
      <c r="AB31" s="35"/>
      <c r="AC31" s="35"/>
      <c r="AD31" s="35"/>
    </row>
    <row r="32">
      <c r="A32" s="8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5"/>
      <c r="AB32" s="35"/>
      <c r="AC32" s="35"/>
      <c r="AD32" s="35"/>
    </row>
    <row r="33">
      <c r="A33" s="8" t="s">
        <v>54</v>
      </c>
      <c r="B33" s="43">
        <f t="shared" ref="B33:M33" si="10">B15</f>
        <v>1546790</v>
      </c>
      <c r="C33" s="43">
        <f t="shared" si="10"/>
        <v>1546790</v>
      </c>
      <c r="D33" s="43">
        <f t="shared" si="10"/>
        <v>1546790</v>
      </c>
      <c r="E33" s="43">
        <f t="shared" si="10"/>
        <v>1546790</v>
      </c>
      <c r="F33" s="43">
        <f t="shared" si="10"/>
        <v>1546790</v>
      </c>
      <c r="G33" s="43">
        <f t="shared" si="10"/>
        <v>1546790</v>
      </c>
      <c r="H33" s="43">
        <f t="shared" si="10"/>
        <v>1546790</v>
      </c>
      <c r="I33" s="43">
        <f t="shared" si="10"/>
        <v>1546790</v>
      </c>
      <c r="J33" s="43">
        <f t="shared" si="10"/>
        <v>1546790</v>
      </c>
      <c r="K33" s="43">
        <f t="shared" si="10"/>
        <v>1546790</v>
      </c>
      <c r="L33" s="43">
        <f t="shared" si="10"/>
        <v>1546790</v>
      </c>
      <c r="M33" s="43">
        <f t="shared" si="10"/>
        <v>1546790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5"/>
      <c r="AB33" s="35"/>
      <c r="AC33" s="35"/>
      <c r="AD33" s="35"/>
    </row>
    <row r="34">
      <c r="A34" s="8" t="s">
        <v>55</v>
      </c>
      <c r="B34" s="66">
        <f t="shared" ref="B34:M34" si="11">sum(B20:B30)</f>
        <v>506200</v>
      </c>
      <c r="C34" s="66">
        <f t="shared" si="11"/>
        <v>506200</v>
      </c>
      <c r="D34" s="66">
        <f t="shared" si="11"/>
        <v>506200</v>
      </c>
      <c r="E34" s="66">
        <f t="shared" si="11"/>
        <v>506200</v>
      </c>
      <c r="F34" s="66">
        <f t="shared" si="11"/>
        <v>506200</v>
      </c>
      <c r="G34" s="66">
        <f t="shared" si="11"/>
        <v>666200</v>
      </c>
      <c r="H34" s="66">
        <f t="shared" si="11"/>
        <v>506200</v>
      </c>
      <c r="I34" s="66">
        <f t="shared" si="11"/>
        <v>506200</v>
      </c>
      <c r="J34" s="66">
        <f t="shared" si="11"/>
        <v>506200</v>
      </c>
      <c r="K34" s="66">
        <f t="shared" si="11"/>
        <v>506200</v>
      </c>
      <c r="L34" s="66">
        <f t="shared" si="11"/>
        <v>506200</v>
      </c>
      <c r="M34" s="66">
        <f t="shared" si="11"/>
        <v>929125.8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5"/>
      <c r="AB34" s="35"/>
      <c r="AC34" s="35"/>
      <c r="AD34" s="35"/>
    </row>
    <row r="35">
      <c r="A35" s="41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5"/>
      <c r="AB35" s="35"/>
      <c r="AC35" s="35"/>
      <c r="AD35" s="35"/>
    </row>
    <row r="36">
      <c r="A36" s="8" t="s">
        <v>58</v>
      </c>
      <c r="B36" s="43">
        <f>'CC year 4'!M39</f>
        <v>2521738.228</v>
      </c>
      <c r="C36" s="43">
        <f t="shared" ref="C36:M36" si="12">B37</f>
        <v>3562328.228</v>
      </c>
      <c r="D36" s="43">
        <f t="shared" si="12"/>
        <v>4602918.228</v>
      </c>
      <c r="E36" s="43">
        <f t="shared" si="12"/>
        <v>5643508.228</v>
      </c>
      <c r="F36" s="43">
        <f t="shared" si="12"/>
        <v>6684098.228</v>
      </c>
      <c r="G36" s="43">
        <f t="shared" si="12"/>
        <v>7724688.228</v>
      </c>
      <c r="H36" s="43">
        <f t="shared" si="12"/>
        <v>8605278.228</v>
      </c>
      <c r="I36" s="43">
        <f t="shared" si="12"/>
        <v>9645868.228</v>
      </c>
      <c r="J36" s="43">
        <f t="shared" si="12"/>
        <v>10686458.23</v>
      </c>
      <c r="K36" s="43">
        <f t="shared" si="12"/>
        <v>11727048.23</v>
      </c>
      <c r="L36" s="43">
        <f t="shared" si="12"/>
        <v>12767638.23</v>
      </c>
      <c r="M36" s="43">
        <f t="shared" si="12"/>
        <v>13808228.23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5"/>
      <c r="AB36" s="35"/>
      <c r="AC36" s="35"/>
      <c r="AD36" s="35"/>
    </row>
    <row r="37">
      <c r="A37" s="8" t="s">
        <v>62</v>
      </c>
      <c r="B37" s="43">
        <f t="shared" ref="B37:D37" si="13">B36+(B33-B34)</f>
        <v>3562328.228</v>
      </c>
      <c r="C37" s="43">
        <f t="shared" si="13"/>
        <v>4602918.228</v>
      </c>
      <c r="D37" s="43">
        <f t="shared" si="13"/>
        <v>5643508.228</v>
      </c>
      <c r="E37" s="43">
        <f t="shared" ref="E37:F37" si="14">E36+E33-E34</f>
        <v>6684098.228</v>
      </c>
      <c r="F37" s="43">
        <f t="shared" si="14"/>
        <v>7724688.228</v>
      </c>
      <c r="G37" s="43">
        <f t="shared" ref="G37:M37" si="15">G36+(G33-G34)</f>
        <v>8605278.228</v>
      </c>
      <c r="H37" s="43">
        <f t="shared" si="15"/>
        <v>9645868.228</v>
      </c>
      <c r="I37" s="43">
        <f t="shared" si="15"/>
        <v>10686458.23</v>
      </c>
      <c r="J37" s="43">
        <f t="shared" si="15"/>
        <v>11727048.23</v>
      </c>
      <c r="K37" s="43">
        <f t="shared" si="15"/>
        <v>12767638.23</v>
      </c>
      <c r="L37" s="43">
        <f t="shared" si="15"/>
        <v>13808228.23</v>
      </c>
      <c r="M37" s="43">
        <f t="shared" si="15"/>
        <v>14425892.43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5"/>
      <c r="AB37" s="35"/>
      <c r="AC37" s="35"/>
      <c r="AD37" s="35"/>
    </row>
    <row r="38">
      <c r="A38" s="41"/>
      <c r="B38" s="56"/>
      <c r="C38" s="56"/>
      <c r="D38" s="56"/>
      <c r="E38" s="56"/>
      <c r="F38" s="56"/>
      <c r="G38" s="56"/>
      <c r="H38" s="56"/>
      <c r="I38" s="68"/>
      <c r="J38" s="68"/>
      <c r="K38" s="68"/>
      <c r="L38" s="68"/>
      <c r="M38" s="6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5"/>
      <c r="AB38" s="35"/>
      <c r="AC38" s="35"/>
      <c r="AD38" s="35"/>
    </row>
    <row r="39">
      <c r="A39" s="69" t="s">
        <v>70</v>
      </c>
      <c r="B39" s="70"/>
      <c r="C39" s="70"/>
      <c r="D39" s="70"/>
      <c r="E39" s="70"/>
      <c r="F39" s="70"/>
      <c r="G39" s="70"/>
      <c r="H39" s="70"/>
      <c r="I39" s="71"/>
      <c r="J39" s="71"/>
      <c r="K39" s="71"/>
      <c r="L39" s="71"/>
      <c r="M39" s="71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5"/>
      <c r="AB39" s="35"/>
      <c r="AC39" s="35"/>
      <c r="AD39" s="35"/>
    </row>
    <row r="40">
      <c r="A40" s="67" t="s">
        <v>65</v>
      </c>
      <c r="B40" s="72">
        <v>2000.0</v>
      </c>
      <c r="C40" s="72">
        <v>2000.0</v>
      </c>
      <c r="D40" s="72">
        <v>2000.0</v>
      </c>
      <c r="E40" s="72">
        <v>2000.0</v>
      </c>
      <c r="F40" s="72">
        <v>2000.0</v>
      </c>
      <c r="G40" s="72">
        <v>2000.0</v>
      </c>
      <c r="H40" s="72">
        <v>2000.0</v>
      </c>
      <c r="I40" s="72">
        <v>2000.0</v>
      </c>
      <c r="J40" s="72">
        <v>2000.0</v>
      </c>
      <c r="K40" s="72">
        <v>2000.0</v>
      </c>
      <c r="L40" s="72">
        <v>2000.0</v>
      </c>
      <c r="M40" s="72">
        <v>2000.0</v>
      </c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5"/>
      <c r="AB40" s="35"/>
      <c r="AC40" s="35"/>
      <c r="AD40" s="35"/>
    </row>
    <row r="41">
      <c r="A41" s="67" t="s">
        <v>66</v>
      </c>
      <c r="B41" s="72">
        <v>40.0</v>
      </c>
      <c r="C41" s="72">
        <v>40.0</v>
      </c>
      <c r="D41" s="72">
        <v>40.0</v>
      </c>
      <c r="E41" s="72">
        <v>40.0</v>
      </c>
      <c r="F41" s="72">
        <v>40.0</v>
      </c>
      <c r="G41" s="72">
        <v>40.0</v>
      </c>
      <c r="H41" s="72">
        <v>40.0</v>
      </c>
      <c r="I41" s="72">
        <v>40.0</v>
      </c>
      <c r="J41" s="72">
        <v>40.0</v>
      </c>
      <c r="K41" s="72">
        <v>40.0</v>
      </c>
      <c r="L41" s="72">
        <v>40.0</v>
      </c>
      <c r="M41" s="72">
        <v>40.0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5"/>
      <c r="AB41" s="35"/>
      <c r="AC41" s="35"/>
      <c r="AD41" s="35"/>
    </row>
    <row r="42">
      <c r="A42" s="67" t="s">
        <v>67</v>
      </c>
      <c r="B42" s="65">
        <v>245.69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5"/>
      <c r="AB42" s="35"/>
      <c r="AC42" s="35"/>
      <c r="AD42" s="35"/>
    </row>
    <row r="43">
      <c r="A43" s="67" t="s">
        <v>69</v>
      </c>
      <c r="B43" s="65">
        <v>19.99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5"/>
      <c r="AB43" s="35"/>
      <c r="AC43" s="35"/>
      <c r="AD43" s="35"/>
    </row>
    <row r="44">
      <c r="A44" s="76" t="s">
        <v>107</v>
      </c>
      <c r="B44" s="1">
        <v>8.0</v>
      </c>
      <c r="C44" s="1">
        <v>8.0</v>
      </c>
      <c r="D44" s="1">
        <v>8.0</v>
      </c>
      <c r="E44" s="1">
        <v>8.0</v>
      </c>
      <c r="F44" s="1">
        <v>8.0</v>
      </c>
      <c r="G44" s="1">
        <v>8.0</v>
      </c>
      <c r="H44" s="1">
        <v>8.0</v>
      </c>
      <c r="I44" s="1">
        <v>8.0</v>
      </c>
      <c r="J44" s="1">
        <v>8.0</v>
      </c>
      <c r="K44" s="1">
        <v>8.0</v>
      </c>
      <c r="L44" s="1">
        <v>8.0</v>
      </c>
      <c r="M44" s="1">
        <v>8.0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35"/>
      <c r="AB44" s="35"/>
      <c r="AC44" s="35"/>
      <c r="AD44" s="35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6.0"/>
  </cols>
  <sheetData>
    <row r="1">
      <c r="A1" s="45" t="s">
        <v>75</v>
      </c>
      <c r="B1" s="46"/>
      <c r="C1" s="46"/>
      <c r="D1" s="46"/>
      <c r="E1" s="46"/>
      <c r="F1" s="46"/>
      <c r="G1" s="47"/>
      <c r="H1" s="4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>
      <c r="A2" s="49" t="s">
        <v>76</v>
      </c>
      <c r="B2" s="50">
        <v>2018.0</v>
      </c>
      <c r="C2" s="50">
        <v>2019.0</v>
      </c>
      <c r="D2" s="50">
        <v>2020.0</v>
      </c>
      <c r="E2" s="50">
        <v>2021.0</v>
      </c>
      <c r="F2" s="50">
        <v>2022.0</v>
      </c>
      <c r="G2" s="47"/>
      <c r="H2" s="47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>
      <c r="A3" s="51" t="s">
        <v>77</v>
      </c>
      <c r="B3" s="52" t="s">
        <v>78</v>
      </c>
      <c r="C3" s="52" t="s">
        <v>79</v>
      </c>
      <c r="D3" s="52" t="s">
        <v>80</v>
      </c>
      <c r="E3" s="52" t="s">
        <v>81</v>
      </c>
      <c r="F3" s="52" t="s">
        <v>82</v>
      </c>
      <c r="G3" s="47"/>
      <c r="H3" s="47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>
      <c r="A4" s="53"/>
      <c r="B4" s="55"/>
      <c r="C4" s="57"/>
      <c r="D4" s="57"/>
      <c r="E4" s="57"/>
      <c r="F4" s="55"/>
      <c r="G4" s="47"/>
      <c r="H4" s="47"/>
      <c r="I4" s="5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>
      <c r="A5" s="49" t="s">
        <v>83</v>
      </c>
      <c r="B5" s="60">
        <f>sum('CC yr 1'!F7:M7)</f>
        <v>0</v>
      </c>
      <c r="C5" s="62">
        <v>0.0</v>
      </c>
      <c r="D5" s="62">
        <f>sum('CC yr 3'!B7:M9)</f>
        <v>1549526.4</v>
      </c>
      <c r="E5" s="60">
        <f>sum('CC year 4'!B7:M9)</f>
        <v>5576814</v>
      </c>
      <c r="F5" s="60">
        <f>sum('CC year 5'!B7:M9)</f>
        <v>18561480</v>
      </c>
      <c r="G5" s="47"/>
      <c r="H5" s="47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>
      <c r="A6" s="53"/>
      <c r="B6" s="64"/>
      <c r="C6" s="64"/>
      <c r="D6" s="64"/>
      <c r="E6" s="64"/>
      <c r="F6" s="64"/>
      <c r="G6" s="47"/>
      <c r="H6" s="47"/>
      <c r="I6" s="47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>
      <c r="A7" s="49" t="s">
        <v>86</v>
      </c>
      <c r="B7" s="64"/>
      <c r="C7" s="64"/>
      <c r="D7" s="64"/>
      <c r="E7" s="64"/>
      <c r="F7" s="64"/>
      <c r="G7" s="47"/>
      <c r="H7" s="47"/>
      <c r="I7" s="47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>
      <c r="A8" s="51" t="s">
        <v>36</v>
      </c>
      <c r="B8" s="62">
        <f>sum('CC yr 1'!B21:M21)</f>
        <v>41000</v>
      </c>
      <c r="C8" s="62">
        <f>sum('CC yr 2'!B23:M23)</f>
        <v>23000</v>
      </c>
      <c r="D8" s="62">
        <f>sum('CC yr 3'!B20:M20)</f>
        <v>12000</v>
      </c>
      <c r="E8" s="60">
        <f>sum('CC year 4'!B20:M20)</f>
        <v>74000</v>
      </c>
      <c r="F8" s="60">
        <f>sum('CC year 5'!B20:M20)</f>
        <v>48000</v>
      </c>
      <c r="G8" s="47"/>
      <c r="H8" s="47"/>
      <c r="I8" s="47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>
      <c r="A9" s="51" t="s">
        <v>37</v>
      </c>
      <c r="B9" s="62"/>
      <c r="C9" s="62" t="str">
        <f>'CC yr 2'!B24</f>
        <v/>
      </c>
      <c r="D9" s="62">
        <f>'CC yr 3'!B21</f>
        <v>500000</v>
      </c>
      <c r="E9" s="60"/>
      <c r="F9" s="60"/>
      <c r="G9" s="47"/>
      <c r="H9" s="47"/>
      <c r="I9" s="47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>
      <c r="A10" s="51" t="s">
        <v>88</v>
      </c>
      <c r="B10" s="62"/>
      <c r="C10" s="62"/>
      <c r="D10" s="60">
        <f>(D9-10000)/5</f>
        <v>98000</v>
      </c>
      <c r="E10" s="60">
        <f t="shared" ref="E10:F10" si="1">D10</f>
        <v>98000</v>
      </c>
      <c r="F10" s="60">
        <f t="shared" si="1"/>
        <v>98000</v>
      </c>
      <c r="G10" s="47"/>
      <c r="H10" s="47"/>
      <c r="I10" s="47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</row>
    <row r="11">
      <c r="A11" s="51" t="s">
        <v>41</v>
      </c>
      <c r="B11" s="62">
        <f>'CC yr 1'!B23</f>
        <v>20000</v>
      </c>
      <c r="C11" s="62"/>
      <c r="D11" s="62"/>
      <c r="E11" s="60"/>
      <c r="F11" s="60"/>
      <c r="G11" s="47"/>
      <c r="H11" s="47"/>
      <c r="I11" s="47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</row>
    <row r="12">
      <c r="A12" s="51" t="s">
        <v>90</v>
      </c>
      <c r="B12" s="62">
        <f>B11/5</f>
        <v>4000</v>
      </c>
      <c r="C12" s="62">
        <v>2000.0</v>
      </c>
      <c r="D12" s="62">
        <v>2000.0</v>
      </c>
      <c r="E12" s="62">
        <v>2000.0</v>
      </c>
      <c r="F12" s="62">
        <v>2000.0</v>
      </c>
      <c r="G12" s="47"/>
      <c r="H12" s="47"/>
      <c r="I12" s="47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</row>
    <row r="13">
      <c r="A13" s="49" t="s">
        <v>91</v>
      </c>
      <c r="B13" s="60"/>
      <c r="C13" s="60">
        <f>sum('CC yr 2'!B26:M29)</f>
        <v>12632</v>
      </c>
      <c r="D13" s="60"/>
      <c r="E13" s="60">
        <v>0.0</v>
      </c>
      <c r="F13" s="60">
        <v>0.0</v>
      </c>
      <c r="G13" s="47"/>
      <c r="H13" s="47"/>
      <c r="I13" s="47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</row>
    <row r="14">
      <c r="A14" s="49" t="s">
        <v>92</v>
      </c>
      <c r="B14" s="60">
        <f>SUM('CC yr 1'!B24:M25)</f>
        <v>12000</v>
      </c>
      <c r="C14" s="60">
        <f>sum('CC yr 2'!B25:M25)</f>
        <v>12000</v>
      </c>
      <c r="D14" s="60">
        <f>sum('CC yr 3'!B22:M22)</f>
        <v>12000</v>
      </c>
      <c r="E14" s="60">
        <f>sum('CC year 4'!B21:M22)</f>
        <v>84000</v>
      </c>
      <c r="F14" s="60">
        <f>sum('CC year 5'!B21:M21)</f>
        <v>84000</v>
      </c>
      <c r="G14" s="47"/>
      <c r="H14" s="47"/>
      <c r="I14" s="47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</row>
    <row r="15">
      <c r="A15" s="49" t="s">
        <v>93</v>
      </c>
      <c r="B15" s="60">
        <f>sum('CC yr 1'!B29:M29)</f>
        <v>75000</v>
      </c>
      <c r="C15" s="60">
        <f>sum('CC yr 2'!B30:M30)</f>
        <v>500000</v>
      </c>
      <c r="D15" s="60">
        <f>sum('CC yr 3'!B23:M23)</f>
        <v>700000</v>
      </c>
      <c r="E15" s="60">
        <f>sum('CC year 4'!B23:M23)</f>
        <v>1200000</v>
      </c>
      <c r="F15" s="60">
        <f>sum('CC year 5'!B22:M22)</f>
        <v>1200000</v>
      </c>
      <c r="G15" s="47"/>
      <c r="H15" s="47"/>
      <c r="I15" s="47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</row>
    <row r="16">
      <c r="A16" s="49" t="s">
        <v>94</v>
      </c>
      <c r="B16" s="60">
        <f>sum('CC yr 1'!B31:M32)</f>
        <v>72000</v>
      </c>
      <c r="C16" s="60">
        <f>sum('CC yr 2'!B33:M36)</f>
        <v>240000</v>
      </c>
      <c r="D16" s="60">
        <f>sum('CC yr 3'!B25:M28)</f>
        <v>438300</v>
      </c>
      <c r="E16" s="60">
        <f>sum('CC year 4'!B25:M28)+'CC year 4'!B30:M30</f>
        <v>1045300</v>
      </c>
      <c r="F16" s="60">
        <f>sum('CC year 5'!B24:M27)+SUM('CC year 5'!B29:M29)</f>
        <v>2630400</v>
      </c>
      <c r="G16" s="47"/>
      <c r="H16" s="47"/>
      <c r="I16" s="47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>
      <c r="A17" s="51" t="s">
        <v>95</v>
      </c>
      <c r="B17" s="60"/>
      <c r="C17" s="60"/>
      <c r="D17" s="60">
        <f t="shared" ref="D17:F17" si="2">3%*D5</f>
        <v>46485.792</v>
      </c>
      <c r="E17" s="60">
        <f t="shared" si="2"/>
        <v>167304.42</v>
      </c>
      <c r="F17" s="60">
        <f t="shared" si="2"/>
        <v>556844.4</v>
      </c>
      <c r="G17" s="47"/>
      <c r="H17" s="47"/>
      <c r="I17" s="47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</row>
    <row r="18">
      <c r="A18" s="51" t="s">
        <v>96</v>
      </c>
      <c r="B18" s="60"/>
      <c r="C18" s="60"/>
      <c r="D18" s="60"/>
      <c r="E18" s="60">
        <f>'CC yr 2'!B15*14%</f>
        <v>42000</v>
      </c>
      <c r="F18" s="60"/>
      <c r="G18" s="47"/>
      <c r="H18" s="47"/>
      <c r="I18" s="47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</row>
    <row r="19">
      <c r="A19" s="51" t="s">
        <v>97</v>
      </c>
      <c r="B19" s="60"/>
      <c r="C19" s="60"/>
      <c r="D19" s="60"/>
      <c r="E19" s="60"/>
      <c r="F19" s="60"/>
      <c r="G19" s="47"/>
      <c r="H19" s="47"/>
      <c r="I19" s="47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</row>
    <row r="20">
      <c r="A20" s="49" t="s">
        <v>98</v>
      </c>
      <c r="B20" s="60">
        <f>SUM('CC yr 1'!B33:M33)</f>
        <v>0</v>
      </c>
      <c r="C20" s="60">
        <f>sum('CC yr 2'!B37:M37)</f>
        <v>48000</v>
      </c>
      <c r="D20" s="60">
        <f>sum('CC yr 3'!B29:M29)</f>
        <v>48000</v>
      </c>
      <c r="E20" s="60">
        <f>sum('CC year 4'!B29:M29)</f>
        <v>48000</v>
      </c>
      <c r="F20" s="60">
        <f>sum('CC year 5'!B28:M28)</f>
        <v>48000</v>
      </c>
      <c r="G20" s="47"/>
      <c r="H20" s="47"/>
      <c r="I20" s="47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</row>
    <row r="21">
      <c r="A21" s="51" t="s">
        <v>99</v>
      </c>
      <c r="B21" s="62"/>
      <c r="C21" s="60"/>
      <c r="D21" s="60">
        <f t="shared" ref="D21:F21" si="3">3%*D5</f>
        <v>46485.792</v>
      </c>
      <c r="E21" s="60">
        <f t="shared" si="3"/>
        <v>167304.42</v>
      </c>
      <c r="F21" s="60">
        <f t="shared" si="3"/>
        <v>556844.4</v>
      </c>
      <c r="G21" s="47"/>
      <c r="H21" s="47"/>
      <c r="I21" s="47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</row>
    <row r="22">
      <c r="A22" s="49" t="s">
        <v>61</v>
      </c>
      <c r="B22" s="62">
        <v>0.0</v>
      </c>
      <c r="C22" s="60"/>
      <c r="D22" s="60">
        <f>SUM('CC yr 3'!B31:M31)</f>
        <v>0</v>
      </c>
      <c r="E22" s="60">
        <f>sum('CC year 4'!B31:M31)</f>
        <v>38120.172</v>
      </c>
      <c r="F22" s="60">
        <f>'CC year 5'!G30+'CC year 5'!M30</f>
        <v>246925.8</v>
      </c>
      <c r="G22" s="47"/>
      <c r="H22" s="47"/>
      <c r="I22" s="47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</row>
    <row r="23">
      <c r="A23" s="51" t="s">
        <v>100</v>
      </c>
      <c r="B23" s="60"/>
      <c r="C23" s="60"/>
      <c r="D23" s="60">
        <f>sum('CC yr 3'!B33:M33)</f>
        <v>42455.232</v>
      </c>
      <c r="E23" s="60">
        <f>SUM('CC year 4'!B33:M33)</f>
        <v>159207.12</v>
      </c>
      <c r="F23" s="60">
        <f>sum('CC year 5'!B31:M31)</f>
        <v>546048</v>
      </c>
      <c r="G23" s="47"/>
      <c r="H23" s="47"/>
      <c r="I23" s="47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</row>
    <row r="24">
      <c r="A24" s="49" t="s">
        <v>101</v>
      </c>
      <c r="B24" s="60">
        <f t="shared" ref="B24:C24" si="4">SUM(B8:B22)</f>
        <v>224000</v>
      </c>
      <c r="C24" s="60">
        <f t="shared" si="4"/>
        <v>837632</v>
      </c>
      <c r="D24" s="60">
        <f t="shared" ref="D24:F24" si="5">SUM(D8:D23)</f>
        <v>1945726.816</v>
      </c>
      <c r="E24" s="60">
        <f t="shared" si="5"/>
        <v>3125236.132</v>
      </c>
      <c r="F24" s="60">
        <f t="shared" si="5"/>
        <v>6017062.6</v>
      </c>
      <c r="G24" s="47"/>
      <c r="H24" s="47"/>
      <c r="I24" s="47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>
      <c r="A25" s="53"/>
      <c r="B25" s="64"/>
      <c r="C25" s="60"/>
      <c r="D25" s="60"/>
      <c r="E25" s="60"/>
      <c r="F25" s="60"/>
      <c r="G25" s="47"/>
      <c r="H25" s="47"/>
      <c r="I25" s="47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</row>
    <row r="26">
      <c r="A26" s="49" t="s">
        <v>102</v>
      </c>
      <c r="B26" s="60">
        <f t="shared" ref="B26:F26" si="6">B5-B24</f>
        <v>-224000</v>
      </c>
      <c r="C26" s="60">
        <f t="shared" si="6"/>
        <v>-837632</v>
      </c>
      <c r="D26" s="60">
        <f t="shared" si="6"/>
        <v>-396200.416</v>
      </c>
      <c r="E26" s="60">
        <f t="shared" si="6"/>
        <v>2451577.868</v>
      </c>
      <c r="F26" s="60">
        <f t="shared" si="6"/>
        <v>12544417.4</v>
      </c>
      <c r="G26" s="47"/>
      <c r="H26" s="47"/>
      <c r="I26" s="47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</row>
    <row r="27">
      <c r="A27" s="49" t="s">
        <v>103</v>
      </c>
      <c r="B27" s="64"/>
      <c r="C27" s="60"/>
      <c r="D27" s="60"/>
      <c r="E27" s="60">
        <f t="shared" ref="E27:F27" si="7">0.17*E26</f>
        <v>416768.2376</v>
      </c>
      <c r="F27" s="60">
        <f t="shared" si="7"/>
        <v>2132550.958</v>
      </c>
      <c r="G27" s="47"/>
      <c r="H27" s="47"/>
      <c r="I27" s="47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>
      <c r="A28" s="49" t="s">
        <v>105</v>
      </c>
      <c r="B28" s="60">
        <f t="shared" ref="B28:F28" si="8">B26-B27</f>
        <v>-224000</v>
      </c>
      <c r="C28" s="60">
        <f t="shared" si="8"/>
        <v>-837632</v>
      </c>
      <c r="D28" s="60">
        <f t="shared" si="8"/>
        <v>-396200.416</v>
      </c>
      <c r="E28" s="60">
        <f t="shared" si="8"/>
        <v>2034809.63</v>
      </c>
      <c r="F28" s="60">
        <f t="shared" si="8"/>
        <v>10411866.44</v>
      </c>
      <c r="G28" s="47"/>
      <c r="H28" s="47"/>
      <c r="I28" s="47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>
      <c r="A29" s="53"/>
      <c r="B29" s="55"/>
      <c r="C29" s="55"/>
      <c r="D29" s="55"/>
      <c r="E29" s="55"/>
      <c r="F29" s="55"/>
      <c r="G29" s="47"/>
      <c r="H29" s="47"/>
      <c r="I29" s="4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>
      <c r="A30" s="49" t="s">
        <v>108</v>
      </c>
      <c r="B30" s="75"/>
      <c r="C30" s="75"/>
      <c r="D30" s="75">
        <f t="shared" ref="D30:F30" si="9">(D26/D5)</f>
        <v>-0.2556912977</v>
      </c>
      <c r="E30" s="75">
        <f t="shared" si="9"/>
        <v>0.4396018709</v>
      </c>
      <c r="F30" s="75">
        <f t="shared" si="9"/>
        <v>0.6758306665</v>
      </c>
      <c r="G30" s="47"/>
      <c r="H30" s="47"/>
      <c r="I30" s="47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>
      <c r="A31" s="78"/>
      <c r="B31" s="78"/>
      <c r="C31" s="78"/>
      <c r="D31" s="78"/>
      <c r="E31" s="78"/>
      <c r="F31" s="78"/>
      <c r="G31" s="47"/>
      <c r="H31" s="47"/>
      <c r="I31" s="47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>
      <c r="A32" s="79" t="s">
        <v>109</v>
      </c>
      <c r="B32" s="80" t="s">
        <v>110</v>
      </c>
      <c r="C32" s="80"/>
      <c r="D32" s="80"/>
      <c r="E32" s="82" t="s">
        <v>111</v>
      </c>
      <c r="F32" s="83"/>
      <c r="G32" s="48"/>
      <c r="H32" s="48"/>
      <c r="I32" s="48"/>
      <c r="J32" s="48"/>
      <c r="K32" s="48"/>
      <c r="L32" s="48"/>
      <c r="M32" s="48"/>
      <c r="N32" s="48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>
      <c r="A33" s="85" t="s">
        <v>112</v>
      </c>
      <c r="B33" s="86">
        <v>1.0</v>
      </c>
      <c r="C33" s="87"/>
      <c r="D33" s="87"/>
      <c r="E33" s="88" t="s">
        <v>113</v>
      </c>
      <c r="F33" s="83"/>
      <c r="G33" s="48"/>
      <c r="H33" s="48"/>
      <c r="I33" s="48"/>
      <c r="J33" s="48"/>
      <c r="K33" s="48"/>
      <c r="L33" s="48"/>
      <c r="M33" s="48"/>
      <c r="N33" s="48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>
      <c r="A34" s="85" t="s">
        <v>114</v>
      </c>
      <c r="B34" s="86">
        <v>0.5</v>
      </c>
      <c r="C34" s="89"/>
      <c r="D34" s="89"/>
      <c r="E34" s="91" t="s">
        <v>116</v>
      </c>
      <c r="F34" s="83"/>
      <c r="G34" s="48"/>
      <c r="H34" s="48"/>
      <c r="I34" s="48"/>
      <c r="J34" s="48"/>
      <c r="K34" s="48"/>
      <c r="L34" s="48"/>
      <c r="M34" s="48"/>
      <c r="N34" s="48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>
      <c r="A35" s="85" t="s">
        <v>117</v>
      </c>
      <c r="B35" s="86">
        <v>0.0</v>
      </c>
      <c r="C35" s="89"/>
      <c r="D35" s="89"/>
      <c r="E35" s="91" t="s">
        <v>118</v>
      </c>
      <c r="F35" s="83"/>
      <c r="G35" s="48"/>
      <c r="H35" s="48"/>
      <c r="I35" s="48"/>
      <c r="J35" s="48"/>
      <c r="K35" s="48"/>
      <c r="L35" s="48"/>
      <c r="M35" s="48"/>
      <c r="N35" s="48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</row>
    <row r="53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</row>
    <row r="54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</row>
    <row r="5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</row>
    <row r="56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</row>
    <row r="57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</row>
    <row r="58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</row>
    <row r="59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</row>
    <row r="6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</row>
    <row r="6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</row>
    <row r="63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</row>
    <row r="64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</row>
    <row r="6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</row>
    <row r="66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</row>
    <row r="67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</row>
    <row r="68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</row>
    <row r="69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</row>
    <row r="70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</row>
    <row r="7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</row>
    <row r="7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</row>
    <row r="73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</row>
    <row r="74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</row>
    <row r="7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</row>
    <row r="76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</row>
    <row r="77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</row>
    <row r="78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</row>
    <row r="79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</row>
    <row r="80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</row>
    <row r="8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</row>
    <row r="8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</row>
    <row r="83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</row>
    <row r="84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</row>
    <row r="8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</row>
    <row r="86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</row>
    <row r="87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</row>
    <row r="88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</row>
    <row r="89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</row>
    <row r="90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</row>
    <row r="9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</row>
    <row r="9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</row>
    <row r="93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</row>
    <row r="94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</row>
    <row r="9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</row>
    <row r="96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</row>
    <row r="97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</row>
    <row r="98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</row>
    <row r="99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</row>
    <row r="100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</row>
    <row r="10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</row>
    <row r="10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</row>
    <row r="103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</row>
    <row r="104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</row>
    <row r="10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</row>
    <row r="106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</row>
    <row r="107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</row>
    <row r="108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</row>
    <row r="109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</row>
    <row r="110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</row>
    <row r="11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</row>
    <row r="11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</row>
    <row r="113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</row>
    <row r="114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</row>
    <row r="11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</row>
    <row r="116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</row>
    <row r="117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</row>
    <row r="118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</row>
    <row r="119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</row>
    <row r="120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</row>
    <row r="12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</row>
    <row r="12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</row>
    <row r="123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</row>
    <row r="124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</row>
    <row r="1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</row>
    <row r="126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</row>
    <row r="127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</row>
    <row r="128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</row>
    <row r="129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</row>
    <row r="130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</row>
    <row r="13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</row>
    <row r="13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</row>
    <row r="133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</row>
    <row r="134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</row>
    <row r="13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</row>
    <row r="136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</row>
    <row r="137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</row>
    <row r="138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</row>
    <row r="139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</row>
    <row r="140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</row>
    <row r="14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</row>
    <row r="14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</row>
    <row r="143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</row>
    <row r="144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</row>
    <row r="14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</row>
    <row r="146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</row>
    <row r="147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</row>
    <row r="148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</row>
    <row r="149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</row>
    <row r="150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</row>
    <row r="15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</row>
    <row r="15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</row>
    <row r="153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</row>
    <row r="154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</row>
    <row r="15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</row>
    <row r="156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</row>
    <row r="157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</row>
    <row r="158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</row>
    <row r="159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</row>
    <row r="160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</row>
    <row r="16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</row>
    <row r="16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</row>
    <row r="163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</row>
    <row r="164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</row>
    <row r="165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</row>
    <row r="166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</row>
    <row r="167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</row>
    <row r="168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</row>
    <row r="169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</row>
    <row r="170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</row>
    <row r="17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</row>
    <row r="17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</row>
    <row r="173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</row>
    <row r="174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</row>
    <row r="175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</row>
    <row r="176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</row>
    <row r="177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</row>
    <row r="178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</row>
    <row r="179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</row>
    <row r="180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</row>
    <row r="18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</row>
    <row r="18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</row>
    <row r="183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</row>
    <row r="184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</row>
    <row r="185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</row>
    <row r="186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</row>
    <row r="187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</row>
    <row r="188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</row>
    <row r="189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</row>
    <row r="190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</row>
    <row r="19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</row>
    <row r="19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</row>
    <row r="193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</row>
    <row r="194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</row>
    <row r="195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</row>
    <row r="196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</row>
    <row r="197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</row>
    <row r="198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</row>
    <row r="199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</row>
    <row r="200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</row>
    <row r="20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</row>
    <row r="202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</row>
    <row r="203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</row>
    <row r="204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</row>
    <row r="205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</row>
    <row r="206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</row>
    <row r="207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</row>
    <row r="208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</row>
    <row r="209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</row>
    <row r="210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</row>
    <row r="21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</row>
    <row r="212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</row>
    <row r="213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</row>
    <row r="214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</row>
    <row r="215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</row>
    <row r="216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</row>
    <row r="217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</row>
    <row r="218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</row>
    <row r="219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</row>
    <row r="220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</row>
    <row r="22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</row>
    <row r="22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</row>
    <row r="223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</row>
    <row r="224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</row>
    <row r="225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</row>
    <row r="226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</row>
    <row r="227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</row>
    <row r="228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</row>
    <row r="229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</row>
    <row r="230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</row>
    <row r="23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</row>
    <row r="23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</row>
    <row r="233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</row>
    <row r="234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</row>
    <row r="235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</row>
    <row r="236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</row>
    <row r="237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</row>
    <row r="238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</row>
    <row r="239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</row>
    <row r="240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</row>
    <row r="24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</row>
    <row r="24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</row>
    <row r="243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</row>
    <row r="244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</row>
    <row r="245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</row>
    <row r="246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</row>
    <row r="247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</row>
    <row r="248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</row>
    <row r="249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</row>
    <row r="250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</row>
    <row r="25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</row>
    <row r="25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</row>
    <row r="253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</row>
    <row r="254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</row>
    <row r="25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</row>
    <row r="256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</row>
    <row r="257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</row>
    <row r="258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</row>
    <row r="259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</row>
    <row r="260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</row>
    <row r="26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</row>
    <row r="26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</row>
    <row r="263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</row>
    <row r="264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</row>
    <row r="26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</row>
    <row r="266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</row>
    <row r="267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</row>
    <row r="268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</row>
    <row r="269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</row>
    <row r="270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</row>
    <row r="27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</row>
    <row r="27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</row>
    <row r="273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</row>
    <row r="274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</row>
    <row r="27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</row>
    <row r="276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</row>
    <row r="277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</row>
    <row r="278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</row>
    <row r="279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</row>
    <row r="280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</row>
    <row r="28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</row>
    <row r="28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</row>
    <row r="283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</row>
    <row r="284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</row>
    <row r="285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</row>
    <row r="286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</row>
    <row r="287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</row>
    <row r="288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</row>
    <row r="289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</row>
    <row r="290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</row>
    <row r="29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</row>
    <row r="29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</row>
    <row r="293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</row>
    <row r="294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</row>
    <row r="295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</row>
    <row r="296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</row>
    <row r="297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</row>
    <row r="298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</row>
    <row r="299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</row>
    <row r="300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</row>
    <row r="30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</row>
    <row r="30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</row>
    <row r="303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</row>
    <row r="304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</row>
    <row r="305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</row>
    <row r="306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</row>
    <row r="307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</row>
    <row r="308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</row>
    <row r="309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</row>
    <row r="310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</row>
    <row r="31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</row>
    <row r="31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</row>
    <row r="313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</row>
    <row r="314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</row>
    <row r="315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</row>
    <row r="316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</row>
    <row r="317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</row>
    <row r="318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</row>
    <row r="319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</row>
    <row r="320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</row>
    <row r="32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</row>
    <row r="32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</row>
    <row r="323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</row>
    <row r="324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</row>
    <row r="325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</row>
    <row r="326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</row>
    <row r="327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</row>
    <row r="328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</row>
    <row r="329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</row>
    <row r="330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</row>
    <row r="33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</row>
    <row r="33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</row>
    <row r="333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</row>
    <row r="334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</row>
    <row r="335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</row>
    <row r="336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</row>
    <row r="337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</row>
    <row r="338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</row>
    <row r="339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</row>
    <row r="340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</row>
    <row r="34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</row>
    <row r="34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</row>
    <row r="343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</row>
    <row r="344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</row>
    <row r="345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</row>
    <row r="346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</row>
    <row r="347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</row>
    <row r="348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</row>
    <row r="349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</row>
    <row r="350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</row>
    <row r="35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</row>
    <row r="35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</row>
    <row r="353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</row>
    <row r="354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</row>
    <row r="355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</row>
    <row r="356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</row>
    <row r="357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</row>
    <row r="358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</row>
    <row r="359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</row>
    <row r="360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</row>
    <row r="36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</row>
    <row r="36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</row>
    <row r="363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</row>
    <row r="364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</row>
    <row r="365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</row>
    <row r="366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</row>
    <row r="367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</row>
    <row r="368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</row>
    <row r="369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</row>
    <row r="370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</row>
    <row r="37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</row>
    <row r="37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</row>
    <row r="373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</row>
    <row r="374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</row>
    <row r="375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</row>
    <row r="376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</row>
    <row r="377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</row>
    <row r="378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</row>
    <row r="379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</row>
    <row r="380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</row>
    <row r="38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</row>
    <row r="38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</row>
    <row r="383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</row>
    <row r="384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</row>
    <row r="385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</row>
    <row r="386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</row>
    <row r="387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</row>
    <row r="388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</row>
    <row r="389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</row>
    <row r="390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</row>
    <row r="39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</row>
    <row r="39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</row>
    <row r="393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</row>
    <row r="394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</row>
    <row r="395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</row>
    <row r="396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</row>
    <row r="397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</row>
    <row r="398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</row>
    <row r="399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</row>
    <row r="400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</row>
    <row r="40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</row>
    <row r="40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</row>
    <row r="403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</row>
    <row r="404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</row>
    <row r="405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</row>
    <row r="406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</row>
    <row r="407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</row>
    <row r="408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</row>
    <row r="409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</row>
    <row r="410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</row>
    <row r="41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</row>
    <row r="41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</row>
    <row r="413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</row>
    <row r="414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</row>
    <row r="415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</row>
    <row r="416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</row>
    <row r="417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</row>
    <row r="418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</row>
    <row r="419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</row>
    <row r="420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</row>
    <row r="42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</row>
    <row r="42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</row>
    <row r="423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</row>
    <row r="424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</row>
    <row r="425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</row>
    <row r="426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</row>
    <row r="427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</row>
    <row r="428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</row>
    <row r="429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</row>
    <row r="430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</row>
    <row r="43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</row>
    <row r="43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</row>
    <row r="433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</row>
    <row r="434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</row>
    <row r="435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</row>
    <row r="436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</row>
    <row r="437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</row>
    <row r="438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</row>
    <row r="439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</row>
    <row r="440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</row>
    <row r="44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</row>
    <row r="44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</row>
    <row r="443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</row>
    <row r="444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</row>
    <row r="445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</row>
    <row r="446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</row>
    <row r="447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</row>
    <row r="448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</row>
    <row r="449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</row>
    <row r="450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</row>
    <row r="45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</row>
    <row r="45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</row>
    <row r="453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</row>
    <row r="454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</row>
    <row r="455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</row>
    <row r="456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</row>
    <row r="457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</row>
    <row r="458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</row>
    <row r="459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</row>
    <row r="460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</row>
    <row r="46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</row>
    <row r="46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</row>
    <row r="463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</row>
    <row r="464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</row>
    <row r="465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</row>
    <row r="466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</row>
    <row r="467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</row>
    <row r="468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</row>
    <row r="469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</row>
    <row r="470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</row>
    <row r="47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</row>
    <row r="47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</row>
    <row r="473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</row>
    <row r="474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</row>
    <row r="475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</row>
    <row r="476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</row>
    <row r="477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</row>
    <row r="478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</row>
    <row r="479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</row>
    <row r="480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</row>
    <row r="48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</row>
    <row r="48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</row>
    <row r="483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</row>
    <row r="484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</row>
    <row r="485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</row>
    <row r="486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</row>
    <row r="487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</row>
    <row r="488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</row>
    <row r="489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</row>
    <row r="490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</row>
    <row r="49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</row>
    <row r="49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</row>
    <row r="493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</row>
    <row r="494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</row>
    <row r="495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</row>
    <row r="496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</row>
    <row r="497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</row>
    <row r="498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</row>
    <row r="499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</row>
    <row r="500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</row>
    <row r="50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</row>
    <row r="50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</row>
    <row r="503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</row>
    <row r="504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</row>
    <row r="505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</row>
    <row r="506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</row>
    <row r="507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</row>
    <row r="508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</row>
    <row r="509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</row>
    <row r="510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</row>
    <row r="51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</row>
    <row r="51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</row>
    <row r="513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</row>
    <row r="514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</row>
    <row r="515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</row>
    <row r="516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</row>
    <row r="517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</row>
    <row r="518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</row>
    <row r="519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</row>
    <row r="520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</row>
    <row r="52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</row>
    <row r="52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</row>
    <row r="523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</row>
    <row r="524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</row>
    <row r="525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</row>
    <row r="526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</row>
    <row r="527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</row>
    <row r="528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</row>
    <row r="529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</row>
    <row r="530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</row>
    <row r="53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</row>
    <row r="53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</row>
    <row r="533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</row>
    <row r="534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</row>
    <row r="535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</row>
    <row r="536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</row>
    <row r="537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</row>
    <row r="538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</row>
    <row r="539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</row>
    <row r="540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</row>
    <row r="54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</row>
    <row r="54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</row>
    <row r="543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</row>
    <row r="544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</row>
    <row r="545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</row>
    <row r="546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</row>
    <row r="547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</row>
    <row r="548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</row>
    <row r="549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</row>
    <row r="550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</row>
    <row r="55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</row>
    <row r="55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</row>
    <row r="553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</row>
    <row r="554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</row>
    <row r="555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</row>
    <row r="556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</row>
    <row r="557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</row>
    <row r="558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</row>
    <row r="559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</row>
    <row r="560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</row>
    <row r="56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</row>
    <row r="56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</row>
    <row r="563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</row>
    <row r="564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</row>
    <row r="565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</row>
    <row r="566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</row>
    <row r="567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</row>
    <row r="568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</row>
    <row r="569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</row>
    <row r="570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</row>
    <row r="57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</row>
    <row r="57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</row>
    <row r="573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</row>
    <row r="574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</row>
    <row r="575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</row>
    <row r="576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</row>
    <row r="577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</row>
    <row r="578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</row>
    <row r="579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</row>
    <row r="580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</row>
    <row r="58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</row>
    <row r="58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</row>
    <row r="583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</row>
    <row r="584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</row>
    <row r="585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</row>
    <row r="586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</row>
    <row r="587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</row>
    <row r="588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</row>
    <row r="589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</row>
    <row r="590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</row>
    <row r="59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</row>
    <row r="59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</row>
    <row r="593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</row>
    <row r="594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</row>
    <row r="595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</row>
    <row r="596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</row>
    <row r="597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</row>
    <row r="598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</row>
    <row r="599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</row>
    <row r="600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</row>
    <row r="60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</row>
    <row r="60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</row>
    <row r="603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</row>
    <row r="604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</row>
    <row r="605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</row>
    <row r="606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</row>
    <row r="607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</row>
    <row r="608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</row>
    <row r="609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</row>
    <row r="610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</row>
    <row r="61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</row>
    <row r="61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</row>
    <row r="613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</row>
    <row r="614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</row>
    <row r="615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</row>
    <row r="616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</row>
    <row r="617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</row>
    <row r="618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</row>
    <row r="619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</row>
    <row r="620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</row>
    <row r="62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</row>
    <row r="62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</row>
    <row r="623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</row>
    <row r="624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</row>
    <row r="625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</row>
    <row r="626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</row>
    <row r="627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</row>
    <row r="628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</row>
    <row r="629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</row>
    <row r="630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</row>
    <row r="63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</row>
    <row r="63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</row>
    <row r="633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</row>
    <row r="634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</row>
    <row r="635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</row>
    <row r="636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</row>
    <row r="637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</row>
    <row r="638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</row>
    <row r="639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</row>
    <row r="640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</row>
    <row r="64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</row>
    <row r="64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</row>
    <row r="643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</row>
    <row r="644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</row>
    <row r="645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</row>
    <row r="646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</row>
    <row r="647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</row>
    <row r="648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</row>
    <row r="649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</row>
    <row r="650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</row>
    <row r="65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</row>
    <row r="65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</row>
    <row r="653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</row>
    <row r="654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</row>
    <row r="655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</row>
    <row r="656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</row>
    <row r="657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</row>
    <row r="658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</row>
    <row r="659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</row>
    <row r="660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</row>
    <row r="66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</row>
    <row r="66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</row>
    <row r="663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</row>
    <row r="664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</row>
    <row r="665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</row>
    <row r="666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</row>
    <row r="667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</row>
    <row r="668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</row>
    <row r="669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</row>
    <row r="670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</row>
    <row r="67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</row>
    <row r="67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</row>
    <row r="673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</row>
    <row r="674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</row>
    <row r="675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</row>
    <row r="676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</row>
    <row r="677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</row>
    <row r="678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</row>
    <row r="679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</row>
    <row r="680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</row>
    <row r="68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</row>
    <row r="68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</row>
    <row r="683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</row>
    <row r="684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</row>
    <row r="685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</row>
    <row r="686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</row>
    <row r="687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</row>
    <row r="688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</row>
    <row r="689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</row>
    <row r="690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</row>
    <row r="69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</row>
    <row r="69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</row>
    <row r="693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</row>
    <row r="694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</row>
    <row r="695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</row>
    <row r="696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</row>
    <row r="697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</row>
    <row r="698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</row>
    <row r="699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</row>
    <row r="700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</row>
    <row r="70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</row>
    <row r="70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</row>
    <row r="703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</row>
    <row r="704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</row>
    <row r="705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</row>
    <row r="706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</row>
    <row r="707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</row>
    <row r="708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</row>
    <row r="709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</row>
    <row r="710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</row>
    <row r="71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</row>
    <row r="71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</row>
    <row r="713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</row>
    <row r="714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</row>
    <row r="715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</row>
    <row r="716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</row>
    <row r="717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</row>
    <row r="718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</row>
    <row r="719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</row>
    <row r="720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</row>
    <row r="72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</row>
    <row r="72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</row>
    <row r="723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</row>
    <row r="724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</row>
    <row r="725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</row>
    <row r="726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</row>
    <row r="727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</row>
    <row r="728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</row>
    <row r="729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</row>
    <row r="730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</row>
    <row r="73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</row>
    <row r="73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</row>
    <row r="733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</row>
    <row r="734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</row>
    <row r="735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</row>
    <row r="736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</row>
    <row r="737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</row>
    <row r="738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</row>
    <row r="739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</row>
    <row r="740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</row>
    <row r="74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</row>
    <row r="74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</row>
    <row r="743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</row>
    <row r="744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</row>
    <row r="745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</row>
    <row r="746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</row>
    <row r="747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</row>
    <row r="748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</row>
    <row r="749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</row>
    <row r="750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</row>
    <row r="75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</row>
    <row r="75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</row>
    <row r="753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</row>
    <row r="754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</row>
    <row r="755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</row>
    <row r="756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</row>
    <row r="757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</row>
    <row r="758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</row>
    <row r="759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</row>
    <row r="760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</row>
    <row r="76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</row>
    <row r="76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</row>
    <row r="763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</row>
    <row r="764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</row>
    <row r="765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</row>
    <row r="766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</row>
    <row r="767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</row>
    <row r="768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</row>
    <row r="769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</row>
    <row r="770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</row>
    <row r="77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</row>
    <row r="77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</row>
    <row r="773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</row>
    <row r="774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</row>
    <row r="775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</row>
    <row r="776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</row>
    <row r="777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</row>
    <row r="778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</row>
    <row r="779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</row>
    <row r="780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</row>
    <row r="78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</row>
    <row r="78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</row>
    <row r="783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</row>
    <row r="784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</row>
    <row r="785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</row>
    <row r="786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</row>
    <row r="787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</row>
    <row r="788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</row>
    <row r="789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</row>
    <row r="790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</row>
    <row r="79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</row>
    <row r="79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</row>
    <row r="793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</row>
    <row r="794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</row>
    <row r="795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</row>
    <row r="796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</row>
    <row r="797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</row>
    <row r="798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</row>
    <row r="799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</row>
    <row r="800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</row>
    <row r="80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</row>
    <row r="80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</row>
    <row r="803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</row>
    <row r="804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</row>
    <row r="805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</row>
    <row r="806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</row>
    <row r="807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</row>
    <row r="808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</row>
    <row r="809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</row>
    <row r="810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</row>
    <row r="81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</row>
    <row r="81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</row>
    <row r="813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</row>
    <row r="814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</row>
    <row r="815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</row>
    <row r="816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</row>
    <row r="817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</row>
    <row r="818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</row>
    <row r="819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</row>
    <row r="820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</row>
    <row r="82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</row>
    <row r="82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</row>
    <row r="823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</row>
    <row r="824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</row>
    <row r="825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</row>
    <row r="826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</row>
    <row r="827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</row>
    <row r="828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</row>
    <row r="829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</row>
    <row r="830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</row>
    <row r="83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</row>
    <row r="83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</row>
    <row r="833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</row>
    <row r="834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</row>
    <row r="835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</row>
    <row r="836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</row>
    <row r="837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</row>
    <row r="838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</row>
    <row r="839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</row>
    <row r="840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</row>
    <row r="84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</row>
    <row r="84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</row>
    <row r="843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</row>
    <row r="844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</row>
    <row r="845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</row>
    <row r="846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</row>
    <row r="847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</row>
    <row r="848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</row>
    <row r="849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</row>
    <row r="850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</row>
    <row r="85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</row>
    <row r="85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</row>
    <row r="853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</row>
    <row r="854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</row>
    <row r="855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</row>
    <row r="856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</row>
    <row r="857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</row>
    <row r="858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</row>
    <row r="859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</row>
    <row r="860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</row>
    <row r="86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</row>
    <row r="86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</row>
    <row r="863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</row>
    <row r="864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</row>
    <row r="865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</row>
    <row r="866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</row>
    <row r="867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</row>
    <row r="868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</row>
    <row r="869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</row>
    <row r="870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</row>
    <row r="87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</row>
    <row r="87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</row>
    <row r="873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</row>
    <row r="874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</row>
    <row r="875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</row>
    <row r="876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</row>
    <row r="877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</row>
    <row r="878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</row>
    <row r="879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</row>
    <row r="880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</row>
    <row r="88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</row>
    <row r="88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</row>
    <row r="883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</row>
    <row r="884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</row>
    <row r="885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</row>
    <row r="886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</row>
    <row r="887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</row>
    <row r="888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</row>
    <row r="889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</row>
    <row r="890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</row>
    <row r="89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</row>
    <row r="89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</row>
    <row r="893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</row>
    <row r="894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</row>
    <row r="895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</row>
    <row r="896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</row>
    <row r="897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</row>
    <row r="898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</row>
    <row r="899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</row>
    <row r="900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</row>
    <row r="90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</row>
    <row r="90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</row>
    <row r="903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</row>
    <row r="904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</row>
    <row r="905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</row>
    <row r="906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</row>
    <row r="907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</row>
    <row r="908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</row>
    <row r="909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</row>
    <row r="910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</row>
    <row r="91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</row>
    <row r="91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</row>
    <row r="913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</row>
    <row r="914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</row>
    <row r="915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</row>
    <row r="916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</row>
    <row r="917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</row>
    <row r="918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</row>
    <row r="919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</row>
    <row r="920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</row>
    <row r="92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</row>
    <row r="922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</row>
    <row r="923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</row>
    <row r="924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</row>
    <row r="925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</row>
    <row r="926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</row>
    <row r="927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</row>
    <row r="928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</row>
    <row r="929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</row>
    <row r="930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</row>
    <row r="93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</row>
    <row r="932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</row>
    <row r="933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</row>
    <row r="934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</row>
    <row r="935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</row>
    <row r="936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</row>
    <row r="937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</row>
    <row r="938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</row>
    <row r="939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</row>
    <row r="940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</row>
    <row r="94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</row>
    <row r="942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</row>
    <row r="943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</row>
    <row r="944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</row>
    <row r="945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</row>
    <row r="946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</row>
    <row r="947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</row>
    <row r="948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</row>
    <row r="949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</row>
    <row r="950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</row>
    <row r="95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</row>
    <row r="952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</row>
    <row r="953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</row>
    <row r="954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</row>
    <row r="955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</row>
    <row r="956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</row>
    <row r="957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</row>
    <row r="958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</row>
    <row r="959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</row>
    <row r="960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</row>
    <row r="96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</row>
    <row r="962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</row>
    <row r="963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</row>
    <row r="964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</row>
    <row r="965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</row>
    <row r="966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</row>
    <row r="967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</row>
    <row r="968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</row>
    <row r="969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</row>
    <row r="970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</row>
    <row r="97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</row>
    <row r="972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</row>
    <row r="973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</row>
    <row r="974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</row>
    <row r="975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</row>
    <row r="976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</row>
    <row r="977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</row>
    <row r="978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</row>
    <row r="979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</row>
    <row r="980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</row>
    <row r="98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</row>
    <row r="982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</row>
    <row r="983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</row>
    <row r="984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</row>
    <row r="985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</row>
    <row r="986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</row>
    <row r="987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</row>
    <row r="988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</row>
    <row r="989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</row>
    <row r="990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</row>
    <row r="99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</row>
    <row r="992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</row>
    <row r="993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</row>
    <row r="994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</row>
    <row r="995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</row>
  </sheetData>
  <mergeCells count="4">
    <mergeCell ref="E32:F32"/>
    <mergeCell ref="E33:F33"/>
    <mergeCell ref="E34:F34"/>
    <mergeCell ref="E35:F35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90" t="s">
        <v>115</v>
      </c>
      <c r="B1" s="92"/>
      <c r="C1" s="92"/>
      <c r="D1" s="92"/>
      <c r="E1" s="92"/>
      <c r="F1" s="93"/>
    </row>
    <row r="2">
      <c r="A2" s="94"/>
      <c r="B2" s="95" t="s">
        <v>119</v>
      </c>
      <c r="C2" s="95" t="s">
        <v>79</v>
      </c>
      <c r="D2" s="95" t="s">
        <v>80</v>
      </c>
      <c r="E2" s="95" t="s">
        <v>81</v>
      </c>
      <c r="F2" s="95" t="s">
        <v>82</v>
      </c>
    </row>
    <row r="3">
      <c r="A3" s="95" t="s">
        <v>120</v>
      </c>
      <c r="B3" s="96">
        <v>0.0</v>
      </c>
      <c r="C3" s="96">
        <v>0.0</v>
      </c>
      <c r="D3" s="97">
        <f>('Profit &amp; Loss '!D5-'Profit &amp; Loss '!D24)/'Profit &amp; Loss '!D24*100%</f>
        <v>-0.2036259216</v>
      </c>
      <c r="E3" s="97">
        <f>('Profit &amp; Loss '!E5-'Profit &amp; Loss '!E24)/'Profit &amp; Loss '!E24*100%</f>
        <v>0.7844456433</v>
      </c>
      <c r="F3" s="97">
        <f>('Profit &amp; Loss '!F5-'Profit &amp; Loss '!F24)/'Profit &amp; Loss '!F24*100%</f>
        <v>2.084807527</v>
      </c>
    </row>
  </sheetData>
  <mergeCells count="1">
    <mergeCell ref="A1:F1"/>
  </mergeCells>
  <drawing r:id="rId1"/>
</worksheet>
</file>